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ente de Limpeza" sheetId="1" r:id="rId4"/>
    <sheet state="visible" name="Encarregado" sheetId="2" r:id="rId5"/>
    <sheet state="visible" name="Jardineiro" sheetId="3" r:id="rId6"/>
    <sheet state="visible" name="Aux. de Carga e Descarga" sheetId="4" r:id="rId7"/>
    <sheet state="visible" name="Aux. Administrativo" sheetId="5" r:id="rId8"/>
    <sheet state="visible" name="Recepcionista" sheetId="6" r:id="rId9"/>
    <sheet state="visible" name="Motoristas " sheetId="7" r:id="rId10"/>
    <sheet state="visible" name="Motoristas - Diárias" sheetId="8" r:id="rId11"/>
    <sheet state="visible" name="Complemento de Limpeza" sheetId="9" r:id="rId12"/>
    <sheet state="visible" name="Equipamentos, Uniformes e EPIs" sheetId="10" r:id="rId13"/>
    <sheet state="visible" name="Planilha Resumo" sheetId="11" r:id="rId14"/>
  </sheets>
  <definedNames/>
  <calcPr/>
</workbook>
</file>

<file path=xl/sharedStrings.xml><?xml version="1.0" encoding="utf-8"?>
<sst xmlns="http://schemas.openxmlformats.org/spreadsheetml/2006/main" count="1564" uniqueCount="294">
  <si>
    <t>PLANILHA DE CUSTOS E FORMAÇÃO DE PREÇOS</t>
  </si>
  <si>
    <t>MODELO PARA A CONSOLIDAÇÃO E APRESENTAÇÃO DE PROPOSTAS</t>
  </si>
  <si>
    <t>Com ajustes após publicação da Lei n° 13.467, de 2017; IN 5/17 e IN7/18</t>
  </si>
  <si>
    <t>Dados para composição dos custos referentes a mão de obra</t>
  </si>
  <si>
    <t>Tipo de Serviço (mesmo serviço com características distintas)</t>
  </si>
  <si>
    <t>Servente de Limpeza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</si>
  <si>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</si>
  <si>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</si>
  <si>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</si>
  <si>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(dia/mês/ano)</t>
  </si>
  <si>
    <t>Nota 1: Deverá ser elaborado um quadro para cada tipo de serviço.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</si>
  <si>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</si>
  <si>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</si>
  <si>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</si>
  <si>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</si>
  <si>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</si>
  <si>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</si>
  <si>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</si>
  <si>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</si>
  <si>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</si>
  <si>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</si>
  <si>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</si>
  <si>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</si>
  <si>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</si>
  <si>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</si>
  <si>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</si>
  <si>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</si>
  <si>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</si>
  <si>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</si>
  <si>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</si>
  <si>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</si>
  <si>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</si>
  <si>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</si>
  <si>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</si>
  <si>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</si>
  <si>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</si>
  <si>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</si>
  <si>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</si>
  <si>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B.1</t>
  </si>
  <si>
    <t>Incidência do submódulo 2.2 sob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</si>
  <si>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</si>
  <si>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</si>
  <si>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</si>
  <si>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</si>
  <si>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</si>
  <si>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</si>
  <si>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</si>
  <si>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</si>
  <si>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</si>
  <si>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</si>
  <si>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</si>
  <si>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</si>
  <si>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</si>
  <si>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</si>
  <si>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</si>
  <si>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</si>
  <si>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</si>
  <si>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</si>
  <si>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</si>
  <si>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</si>
  <si>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</si>
  <si>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</si>
  <si>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</si>
  <si>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</si>
  <si>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</si>
  <si>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</si>
  <si>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</si>
  <si>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</si>
  <si>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</si>
  <si>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</si>
  <si>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</si>
  <si>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</si>
  <si>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</si>
  <si>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</si>
  <si>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</si>
  <si>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</si>
  <si>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</si>
  <si>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</si>
  <si>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</si>
  <si>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</si>
  <si>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</si>
  <si>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</si>
  <si>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</si>
  <si>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</si>
  <si>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</si>
  <si>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</si>
  <si>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E.1</t>
  </si>
  <si>
    <t>Incidência do módulo 2.2 sob o auxílio maternidade</t>
  </si>
  <si>
    <t>Substituto na cobertura de Doenças</t>
  </si>
  <si>
    <t>Incidência do módulo 2.2 sob ausências legais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</si>
  <si>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</si>
  <si>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</si>
  <si>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</si>
  <si>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</si>
  <si>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</si>
  <si>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</si>
  <si>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</si>
  <si>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</si>
  <si>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</si>
  <si>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Insumos Diversos</t>
  </si>
  <si>
    <t>Uniformes</t>
  </si>
  <si>
    <t>Materiais</t>
  </si>
  <si>
    <t>Equipamentos</t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</si>
  <si>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</si>
  <si>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t>Módulo 6 - Custos Indiretos, Tributos e Lucro</t>
  </si>
  <si>
    <t>Custos Indiretos, Tributos e Lucro</t>
  </si>
  <si>
    <t>Custos Indiretos</t>
  </si>
  <si>
    <t>Lucro</t>
  </si>
  <si>
    <t>Tributos</t>
  </si>
  <si>
    <t>C.1. PIS</t>
  </si>
  <si>
    <t>C.2. COFINS</t>
  </si>
  <si>
    <t>C.3. ISS</t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</si>
  <si>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</si>
  <si>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</si>
  <si>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</si>
  <si>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</si>
  <si>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</si>
  <si>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</si>
  <si>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</si>
  <si>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Encarregado de Limpeza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</si>
  <si>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</si>
  <si>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</si>
  <si>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</si>
  <si>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</si>
  <si>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</si>
  <si>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</si>
  <si>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</si>
  <si>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Jardineiro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</si>
  <si>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</si>
  <si>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</si>
  <si>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</si>
  <si>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</si>
  <si>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</si>
  <si>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</si>
  <si>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</si>
  <si>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Auxiliar de carga e descarga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</si>
  <si>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</si>
  <si>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</si>
  <si>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</si>
  <si>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</si>
  <si>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</si>
  <si>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</si>
  <si>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</si>
  <si>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Auxiliar Administrativo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</si>
  <si>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</si>
  <si>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</si>
  <si>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</si>
  <si>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</si>
  <si>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</si>
  <si>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</si>
  <si>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</si>
  <si>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Recepcionista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</si>
  <si>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</si>
  <si>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</si>
  <si>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</si>
  <si>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</si>
  <si>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</si>
  <si>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</si>
  <si>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</si>
  <si>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Motorista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</si>
  <si>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</si>
  <si>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</si>
  <si>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</si>
  <si>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</si>
  <si>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</si>
  <si>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</si>
  <si>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</si>
  <si>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DIÁRIAS</t>
  </si>
  <si>
    <t>VALOR (R$)</t>
  </si>
  <si>
    <t>TOTAL</t>
  </si>
  <si>
    <t>VALOR DA DIÁRIA</t>
  </si>
  <si>
    <t>R$ 85,74</t>
  </si>
  <si>
    <t>TRIBUTOS INCIDENTES</t>
  </si>
  <si>
    <t>PIS</t>
  </si>
  <si>
    <t>COFINS</t>
  </si>
  <si>
    <t>IR</t>
  </si>
  <si>
    <t>CSLL</t>
  </si>
  <si>
    <t>ISS</t>
  </si>
  <si>
    <t>VALOR DA DIÁRIA COM INCIDÊNCIA DE TRIBUTOS</t>
  </si>
  <si>
    <t>COMPLEMENTO DOS SERVIÇOS DE LIMPEZA E CONSERVAÇÃO</t>
  </si>
  <si>
    <t>Instrução 1: Para utilização deste modelo, preencher apenas os campos sombreados em azul.</t>
  </si>
  <si>
    <t>Instrução 2: as planilhas de custos e formação de preços, bem como seus eventuais anexos (limpeza), devem ser entregues em conjunto com o "modelo para apresentação da proposta", anexo do Edital. Os textos destacados em vermelho podem ser excluídos da versão final a ser assinada pelo representante legal da licitante e entregue para a CVM, visto tratar-se de meras instruções.</t>
  </si>
  <si>
    <t>Proponente (Razão Social):</t>
  </si>
  <si>
    <t>CNPJ:</t>
  </si>
  <si>
    <t>Nº do Processo:</t>
  </si>
  <si>
    <t>Pregão Eletrônico CVM n.º:</t>
  </si>
  <si>
    <t>Produtividade Mínima a ser utilizada (m²)</t>
  </si>
  <si>
    <t>Margem de utilização (m²)</t>
  </si>
  <si>
    <t>PRODUTIVIDADE ÁREA INTERNA (PISOS FRIOS)</t>
  </si>
  <si>
    <t>800 a 1200</t>
  </si>
  <si>
    <t>PRODUTIVIDADE ÁREA INTERNA (LABORATÓRIO)</t>
  </si>
  <si>
    <t>360 a 450</t>
  </si>
  <si>
    <t>PRODUTIVIDADE ÁREA INTERNA (BANHEIROS)</t>
  </si>
  <si>
    <t>200 a 300</t>
  </si>
  <si>
    <t>PRODUTIVIDADE ÁREA INTERNA (HALL)</t>
  </si>
  <si>
    <t>1000 a 1500</t>
  </si>
  <si>
    <t>PRODUTIVIDADE ÁREA EXTERNA (PISOS ADJACENTES)</t>
  </si>
  <si>
    <t>1800 a 2700</t>
  </si>
  <si>
    <t>PRODUTIVIDADE ESQUADRIAS EXTERNAS</t>
  </si>
  <si>
    <t>300 a 380</t>
  </si>
  <si>
    <t>PRODUTIVIDADE ESQUADRIAS EXTERNAS (FACES INTERNAS)</t>
  </si>
  <si>
    <t>Nota 1: A licitante deverá atentar para a faixa de produtividade de referência estabelecida no Termo de Referência. Caso a produtividade adotada se situe fora dos parâmetros estabelecidos no TR, deverá ser apresentada comprovação de exequibilidade.</t>
  </si>
  <si>
    <t>PREÇO MENSAL UNITÁRIO POR M² (metro quadrado)</t>
  </si>
  <si>
    <t>I - ÁREA INTERNA (PISOS FRIOS)</t>
  </si>
  <si>
    <t>II - ÁREA INTERNA (LABORATÓRIO)</t>
  </si>
  <si>
    <t>MÃO DE OBRA</t>
  </si>
  <si>
    <t>(1x2)</t>
  </si>
  <si>
    <t>PRODUTIVIDADE</t>
  </si>
  <si>
    <t>PREÇO HOMEM-MÊS</t>
  </si>
  <si>
    <t>SUBTOTAL</t>
  </si>
  <si>
    <t>(1/M²)</t>
  </si>
  <si>
    <t>(R$)</t>
  </si>
  <si>
    <t>(R$/M²)</t>
  </si>
  <si>
    <t>ENCARREGADO</t>
  </si>
  <si>
    <t>SERVENTE</t>
  </si>
  <si>
    <t>III - ÁREA INTERNA (BANHEIROS)</t>
  </si>
  <si>
    <t>IV - ÁREA INTERNA (HALL)</t>
  </si>
  <si>
    <t>V - ÁREA EXTERNA (PISOS ADJACENTES)</t>
  </si>
  <si>
    <t>VI - ESQUADRIAS EXTERNAS</t>
  </si>
  <si>
    <t>(4x5)</t>
  </si>
  <si>
    <t>FREQUÊNCIA NO MÊS (HORAS)</t>
  </si>
  <si>
    <t>JORNADA DE TRABALHO NO MÊS (HORAS)</t>
  </si>
  <si>
    <t>(1X2X3) Ki</t>
  </si>
  <si>
    <t>VII - ESQUADRIAS EXTERNAS (FACES INTERNAS)</t>
  </si>
  <si>
    <t>Nota 2: Os valores por metro quadrado, por tipo de área, não podem ser superiores aos limites previstos em Portaria vigente expedida pelo MPDG.</t>
  </si>
  <si>
    <t>VALOR MENSAL DOS SERVIÇOS</t>
  </si>
  <si>
    <t>TIPO DE ÁREA</t>
  </si>
  <si>
    <t>PREÇO MENSAL UNITÁRIO</t>
  </si>
  <si>
    <t>ÁREA</t>
  </si>
  <si>
    <t>VALOR ANUAL</t>
  </si>
  <si>
    <t>QUANTIDADE APROXIMADA DE PROFISSIONAIS (POR PRODUTIVIDADE)</t>
  </si>
  <si>
    <t>QUANTIDADE APROXIMADA DE PROFISSIONAIS PARA ESQUADRIAS</t>
  </si>
  <si>
    <t>(R$/ M²)</t>
  </si>
  <si>
    <t>(M²)</t>
  </si>
  <si>
    <t>ÁREA FÍSICA A SER LIMPA</t>
  </si>
  <si>
    <t>PRODUTIVIDADE DIÁRIA</t>
  </si>
  <si>
    <t>HORAS TRABALHADAS NA LIMPEZA DE ESQUADRIAS NO MÊS</t>
  </si>
  <si>
    <t>TOTAL DE HORAS TRABALHADAS NO MÊS</t>
  </si>
  <si>
    <t>ESTIMATIVA DE QUANTIDADE DE SERVENTES POR MÊS</t>
  </si>
  <si>
    <t>I - Área Interna (Pisos Frios)</t>
  </si>
  <si>
    <t>II - Área Interna (Laboratório)</t>
  </si>
  <si>
    <t>III - Área Interna (Banheiros)</t>
  </si>
  <si>
    <t>IV - Área Interna (Hall)</t>
  </si>
  <si>
    <t>V - Área Externa (Pisos Adjacentes)</t>
  </si>
  <si>
    <t>VI - Esquadrias Externas</t>
  </si>
  <si>
    <t>VII - Esquadrias Externas (Faces Internas)</t>
  </si>
  <si>
    <t>TOTAL MENSAL</t>
  </si>
  <si>
    <t>VALOR ANUAL DOS SERVIÇOS</t>
  </si>
  <si>
    <t>LISTA DE EQUIPAMENTOS E EPIs</t>
  </si>
  <si>
    <t>ITEM</t>
  </si>
  <si>
    <t>DESCRIÇÃO</t>
  </si>
  <si>
    <t>QUANTIDADE  ANUAL</t>
  </si>
  <si>
    <t xml:space="preserve">VALOR UNITÁRIO </t>
  </si>
  <si>
    <t>VALOR TOTAL</t>
  </si>
  <si>
    <t>DEPRECIAÇÃO</t>
  </si>
  <si>
    <t>VALOR DA DEPRECIAÇÃO</t>
  </si>
  <si>
    <t>ESCADA DE ABRIR (ESCADA PINTOR), COM 14 DEGRAUS, DE ALUMÍNIO, COM SAPATAS DE BORRACHA ANTIDERRAPANTE</t>
  </si>
  <si>
    <t>CARRO DE MÃO, RODA DE PNEU MACIÇO COM BUCHA PLÁSTICA</t>
  </si>
  <si>
    <t>PLACA DE SINALIZAÇÃO "PISO MOLHADO</t>
  </si>
  <si>
    <t>ENXADA</t>
  </si>
  <si>
    <t>PÁ</t>
  </si>
  <si>
    <t>SACHO</t>
  </si>
  <si>
    <t>ARCO DE SERRA 12"</t>
  </si>
  <si>
    <t>CARRINHO TIPO PLATAFORMA PARA TRANSPORTE DE CARGA</t>
  </si>
  <si>
    <t>MÁSCARA DESCARTÁVEL PFF2</t>
  </si>
  <si>
    <t>BOTA DE PVC</t>
  </si>
  <si>
    <t>LUVAS DE LÁTEX PARA LIMPEZA CANO LONGO</t>
  </si>
  <si>
    <t>CREME PROTETOR SOLAR</t>
  </si>
  <si>
    <t>PERNEIRA DE RASPA</t>
  </si>
  <si>
    <t>LUVAS DE RASPA</t>
  </si>
  <si>
    <t>AVENTAL DE COURO</t>
  </si>
  <si>
    <t>LISTA DE UNIFORME</t>
  </si>
  <si>
    <t>CAMISA MASCULINA/FEMININA</t>
  </si>
  <si>
    <t>CALÇA MASCULINA/FEMININA</t>
  </si>
  <si>
    <t>SAPATO MASCULINO/FEMININO</t>
  </si>
  <si>
    <t>CINTO</t>
  </si>
  <si>
    <t xml:space="preserve">PLANILHA DE CUSTOS E FORMAÇÃO DE PREÇOS </t>
  </si>
  <si>
    <t>MODELO PARA A CONSOLIDAÇÃO E APRESENTAÇÃO DE PROPOSTAS - RESUMO</t>
  </si>
  <si>
    <t>Item</t>
  </si>
  <si>
    <t>Especificação dos Serviços</t>
  </si>
  <si>
    <t>Quant.</t>
  </si>
  <si>
    <t>VALOR UNITÁRIO</t>
  </si>
  <si>
    <t>AUXILIAR ADMINISTRATIVO II</t>
  </si>
  <si>
    <t>RECEPCIONISTA</t>
  </si>
  <si>
    <t>MOTORISTA</t>
  </si>
  <si>
    <t>DIÁRIAS (MOTORISTA)</t>
  </si>
  <si>
    <t>JARDINEIRO</t>
  </si>
  <si>
    <t>AUXILIAR DE CARGA E DESCARGA</t>
  </si>
  <si>
    <t>SERVIÇOS DE LIMPEZA E CONS.</t>
  </si>
  <si>
    <t>Valor Total (R$)</t>
  </si>
  <si>
    <t>Planilha de Composição de Custos elabora por:</t>
  </si>
  <si>
    <r>
      <rPr>
        <rFont val="Calibri"/>
        <b/>
        <color theme="1"/>
      </rPr>
      <t>Nome:</t>
    </r>
    <r>
      <rPr>
        <rFont val="Calibri"/>
        <color theme="1"/>
      </rPr>
      <t xml:space="preserve"> Jontas Marques Oliveira dos Santos</t>
    </r>
  </si>
  <si>
    <r>
      <rPr>
        <rFont val="Calibri"/>
        <b/>
        <color theme="1"/>
      </rPr>
      <t>Cargo</t>
    </r>
    <r>
      <rPr>
        <rFont val="Calibri"/>
        <color theme="1"/>
      </rPr>
      <t>: Assistente em Administração</t>
    </r>
  </si>
  <si>
    <r>
      <rPr>
        <rFont val="Calibri"/>
        <b/>
        <color theme="1"/>
      </rPr>
      <t xml:space="preserve">SIAPE: </t>
    </r>
    <r>
      <rPr>
        <rFont val="Calibri"/>
        <color theme="1"/>
      </rPr>
      <t>1227778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</si>
</sst>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_-&quot;R$&quot;\ * #,##0.00_-;\-&quot;R$&quot;\ * #,##0.00_-;_-&quot;R$&quot;\ * &quot;-&quot;??_-;_-@"/>
    <numFmt numFmtId="166" formatCode="_([$R$ -416]* #,##0.00_);_([$R$ -416]* \(#,##0.00\);_([$R$ -416]* &quot;-&quot;??_);_(@_)"/>
    <numFmt numFmtId="167" formatCode="0.0"/>
  </numFmts>
  <fonts count="21">
    <font>
      <sz val="11.0"/>
      <color theme="1"/>
      <name val="Arial"/>
    </font>
    <font>
      <sz val="18.0"/>
      <color theme="0"/>
      <name val="Times New Roman"/>
    </font>
    <font/>
    <font>
      <sz val="12.0"/>
      <color theme="1"/>
      <name val="Times New Roman"/>
    </font>
    <font>
      <sz val="9.0"/>
      <color rgb="FFFF0000"/>
      <name val="Times New Roman"/>
    </font>
    <font>
      <sz val="12.0"/>
      <color rgb="FFFF0000"/>
      <name val="Times New Roman"/>
    </font>
    <font>
      <b/>
      <sz val="12.0"/>
      <color theme="1"/>
      <name val="Times New Roman"/>
    </font>
    <font>
      <sz val="8.0"/>
      <color theme="1"/>
      <name val="Verdana"/>
    </font>
    <font>
      <sz val="11.0"/>
      <color rgb="FF000000"/>
      <name val="Times New Roman"/>
    </font>
    <font>
      <b/>
      <sz val="11.0"/>
      <color rgb="FF000000"/>
      <name val="Arial"/>
    </font>
    <font>
      <b/>
      <sz val="12.0"/>
      <color rgb="FF000000"/>
      <name val="&quot;Times New Roman&quot;"/>
    </font>
    <font>
      <sz val="12.0"/>
      <color rgb="FF000000"/>
      <name val="&quot;Times New Roman&quot;"/>
    </font>
    <font>
      <b/>
      <sz val="12.0"/>
      <color theme="1"/>
      <name val="Arial"/>
    </font>
    <font>
      <color theme="1"/>
      <name val="Arial"/>
    </font>
    <font>
      <b/>
      <color rgb="FFFF0000"/>
      <name val="Arial"/>
    </font>
    <font>
      <color theme="1"/>
      <name val="Calibri"/>
    </font>
    <font>
      <b/>
      <color theme="1"/>
      <name val="Arial"/>
    </font>
    <font>
      <sz val="9.0"/>
      <color theme="1"/>
      <name val="Arial"/>
    </font>
    <font>
      <sz val="11.0"/>
      <color rgb="FF000000"/>
      <name val="Inconsolata"/>
    </font>
    <font>
      <b/>
      <sz val="9.0"/>
      <color theme="1"/>
      <name val="Arial"/>
    </font>
    <font>
      <b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92D050"/>
        <bgColor rgb="FF92D050"/>
      </patternFill>
    </fill>
    <fill>
      <patternFill patternType="solid">
        <fgColor rgb="FF00FF00"/>
        <bgColor rgb="FF00FF00"/>
      </patternFill>
    </fill>
  </fills>
  <borders count="36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</border>
    <border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1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1" fillId="3" fontId="6" numFmtId="0" xfId="0" applyAlignment="1" applyBorder="1" applyFill="1" applyFont="1">
      <alignment horizontal="center" vertical="center"/>
    </xf>
    <xf borderId="4" fillId="0" fontId="6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shrinkToFit="0" vertical="center" wrapText="1"/>
    </xf>
    <xf borderId="6" fillId="0" fontId="5" numFmtId="0" xfId="0" applyAlignment="1" applyBorder="1" applyFont="1">
      <alignment horizontal="center"/>
    </xf>
    <xf borderId="7" fillId="0" fontId="6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horizontal="center"/>
    </xf>
    <xf borderId="9" fillId="0" fontId="5" numFmtId="164" xfId="0" applyAlignment="1" applyBorder="1" applyFont="1" applyNumberFormat="1">
      <alignment horizontal="center"/>
    </xf>
    <xf borderId="9" fillId="0" fontId="3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center" wrapText="1"/>
    </xf>
    <xf borderId="12" fillId="0" fontId="3" numFmtId="0" xfId="0" applyBorder="1" applyFont="1"/>
    <xf borderId="0" fillId="0" fontId="7" numFmtId="0" xfId="0" applyFont="1"/>
    <xf borderId="13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shrinkToFit="0" vertical="center" wrapText="1"/>
    </xf>
    <xf borderId="16" fillId="0" fontId="3" numFmtId="165" xfId="0" applyAlignment="1" applyBorder="1" applyFont="1" applyNumberFormat="1">
      <alignment horizontal="center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0" fillId="0" fontId="7" numFmtId="0" xfId="0" applyAlignment="1" applyFont="1">
      <alignment horizontal="left" shrinkToFit="0" vertical="top" wrapText="1"/>
    </xf>
    <xf borderId="0" fillId="0" fontId="6" numFmtId="0" xfId="0" applyAlignment="1" applyFont="1">
      <alignment vertical="center"/>
    </xf>
    <xf borderId="1" fillId="4" fontId="6" numFmtId="0" xfId="0" applyAlignment="1" applyBorder="1" applyFill="1" applyFont="1">
      <alignment horizontal="center" vertical="center"/>
    </xf>
    <xf borderId="18" fillId="0" fontId="3" numFmtId="0" xfId="0" applyAlignment="1" applyBorder="1" applyFont="1">
      <alignment horizontal="center" shrinkToFit="0" vertical="center" wrapText="1"/>
    </xf>
    <xf borderId="1" fillId="4" fontId="6" numFmtId="0" xfId="0" applyAlignment="1" applyBorder="1" applyFont="1">
      <alignment horizontal="center" shrinkToFit="0" vertical="center" wrapText="1"/>
    </xf>
    <xf borderId="16" fillId="0" fontId="3" numFmtId="10" xfId="0" applyAlignment="1" applyBorder="1" applyFont="1" applyNumberFormat="1">
      <alignment horizontal="center" shrinkToFit="0" vertical="center" wrapText="1"/>
    </xf>
    <xf borderId="19" fillId="5" fontId="3" numFmtId="9" xfId="0" applyAlignment="1" applyBorder="1" applyFill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vertical="center"/>
    </xf>
    <xf borderId="16" fillId="0" fontId="3" numFmtId="0" xfId="0" applyAlignment="1" applyBorder="1" applyFont="1">
      <alignment horizontal="left" shrinkToFit="0" vertical="center" wrapText="1"/>
    </xf>
    <xf borderId="14" fillId="0" fontId="6" numFmtId="0" xfId="0" applyAlignment="1" applyBorder="1" applyFont="1">
      <alignment shrinkToFit="0" vertical="center" wrapText="1"/>
    </xf>
    <xf borderId="16" fillId="0" fontId="3" numFmtId="2" xfId="0" applyAlignment="1" applyBorder="1" applyFont="1" applyNumberFormat="1">
      <alignment horizontal="center" shrinkToFit="0" vertical="center" wrapText="1"/>
    </xf>
    <xf borderId="16" fillId="0" fontId="3" numFmtId="0" xfId="0" applyAlignment="1" applyBorder="1" applyFont="1">
      <alignment horizontal="center" readingOrder="0"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16" fillId="0" fontId="3" numFmtId="9" xfId="0" applyAlignment="1" applyBorder="1" applyFont="1" applyNumberFormat="1">
      <alignment horizontal="center" readingOrder="0" shrinkToFit="0" vertical="center" wrapText="1"/>
    </xf>
    <xf borderId="16" fillId="0" fontId="3" numFmtId="9" xfId="0" applyAlignment="1" applyBorder="1" applyFont="1" applyNumberFormat="1">
      <alignment horizontal="center" shrinkToFit="0" vertical="center" wrapText="1"/>
    </xf>
    <xf borderId="16" fillId="0" fontId="3" numFmtId="10" xfId="0" applyAlignment="1" applyBorder="1" applyFont="1" applyNumberFormat="1">
      <alignment horizontal="center" readingOrder="0" shrinkToFit="0" vertical="center" wrapText="1"/>
    </xf>
    <xf borderId="20" fillId="0" fontId="3" numFmtId="165" xfId="0" applyAlignment="1" applyBorder="1" applyFont="1" applyNumberFormat="1">
      <alignment horizontal="center" shrinkToFit="0" vertical="center" wrapText="1"/>
    </xf>
    <xf borderId="21" fillId="0" fontId="3" numFmtId="10" xfId="0" applyAlignment="1" applyBorder="1" applyFont="1" applyNumberFormat="1">
      <alignment horizontal="center" readingOrder="0" shrinkToFit="0" vertical="center" wrapText="1"/>
    </xf>
    <xf borderId="8" fillId="6" fontId="8" numFmtId="165" xfId="0" applyBorder="1" applyFill="1" applyFont="1" applyNumberFormat="1"/>
    <xf borderId="21" fillId="0" fontId="3" numFmtId="9" xfId="0" applyAlignment="1" applyBorder="1" applyFont="1" applyNumberFormat="1">
      <alignment horizontal="center" shrinkToFit="0" vertical="center" wrapText="1"/>
    </xf>
    <xf borderId="21" fillId="0" fontId="3" numFmtId="10" xfId="0" applyAlignment="1" applyBorder="1" applyFont="1" applyNumberFormat="1">
      <alignment horizontal="center" shrinkToFit="0" vertical="center" wrapText="1"/>
    </xf>
    <xf borderId="8" fillId="0" fontId="3" numFmtId="166" xfId="0" applyAlignment="1" applyBorder="1" applyFont="1" applyNumberFormat="1">
      <alignment horizontal="center" shrinkToFit="0" vertical="center" wrapText="1"/>
    </xf>
    <xf borderId="0" fillId="0" fontId="9" numFmtId="0" xfId="0" applyFont="1"/>
    <xf borderId="15" fillId="0" fontId="6" numFmtId="0" xfId="0" applyAlignment="1" applyBorder="1" applyFont="1">
      <alignment horizontal="center" shrinkToFit="0" vertical="center" wrapText="1"/>
    </xf>
    <xf borderId="16" fillId="0" fontId="3" numFmtId="165" xfId="0" applyAlignment="1" applyBorder="1" applyFont="1" applyNumberFormat="1">
      <alignment shrinkToFit="0" vertical="center" wrapText="1"/>
    </xf>
    <xf borderId="16" fillId="0" fontId="3" numFmtId="2" xfId="0" applyAlignment="1" applyBorder="1" applyFont="1" applyNumberFormat="1">
      <alignment shrinkToFit="0" vertical="center" wrapText="1"/>
    </xf>
    <xf borderId="9" fillId="0" fontId="5" numFmtId="164" xfId="0" applyAlignment="1" applyBorder="1" applyFont="1" applyNumberFormat="1">
      <alignment horizontal="center" readingOrder="0"/>
    </xf>
    <xf borderId="16" fillId="0" fontId="3" numFmtId="164" xfId="0" applyAlignment="1" applyBorder="1" applyFont="1" applyNumberFormat="1">
      <alignment horizontal="center" readingOrder="0" shrinkToFit="0" vertical="center" wrapText="1"/>
    </xf>
    <xf borderId="14" fillId="0" fontId="6" numFmtId="164" xfId="0" applyAlignment="1" applyBorder="1" applyFont="1" applyNumberFormat="1">
      <alignment horizontal="center" shrinkToFit="0" vertical="center" wrapText="1"/>
    </xf>
    <xf borderId="16" fillId="0" fontId="3" numFmtId="164" xfId="0" applyAlignment="1" applyBorder="1" applyFont="1" applyNumberFormat="1">
      <alignment shrinkToFit="0" vertical="center" wrapText="1"/>
    </xf>
    <xf borderId="22" fillId="7" fontId="10" numFmtId="0" xfId="0" applyAlignment="1" applyBorder="1" applyFill="1" applyFont="1">
      <alignment horizontal="center" readingOrder="0" shrinkToFit="0" wrapText="0"/>
    </xf>
    <xf borderId="22" fillId="0" fontId="2" numFmtId="0" xfId="0" applyBorder="1" applyFont="1"/>
    <xf borderId="0" fillId="7" fontId="10" numFmtId="0" xfId="0" applyAlignment="1" applyFont="1">
      <alignment horizontal="center" readingOrder="0" shrinkToFit="0" wrapText="0"/>
    </xf>
    <xf borderId="0" fillId="7" fontId="10" numFmtId="0" xfId="0" applyAlignment="1" applyFont="1">
      <alignment horizontal="center" readingOrder="0" shrinkToFit="0" vertical="bottom" wrapText="0"/>
    </xf>
    <xf borderId="23" fillId="0" fontId="10" numFmtId="0" xfId="0" applyAlignment="1" applyBorder="1" applyFont="1">
      <alignment readingOrder="0" shrinkToFit="0" vertical="bottom" wrapText="0"/>
    </xf>
    <xf borderId="24" fillId="0" fontId="2" numFmtId="0" xfId="0" applyBorder="1" applyFont="1"/>
    <xf borderId="24" fillId="0" fontId="10" numFmtId="0" xfId="0" applyAlignment="1" applyBorder="1" applyFont="1">
      <alignment horizontal="right" readingOrder="0" shrinkToFit="0" vertical="bottom" wrapText="0"/>
    </xf>
    <xf borderId="25" fillId="0" fontId="11" numFmtId="0" xfId="0" applyAlignment="1" applyBorder="1" applyFont="1">
      <alignment horizontal="center" shrinkToFit="0" vertical="bottom" wrapText="0"/>
    </xf>
    <xf borderId="26" fillId="0" fontId="11" numFmtId="0" xfId="0" applyAlignment="1" applyBorder="1" applyFont="1">
      <alignment shrinkToFit="0" vertical="bottom" wrapText="0"/>
    </xf>
    <xf borderId="27" fillId="0" fontId="2" numFmtId="0" xfId="0" applyBorder="1" applyFont="1"/>
    <xf borderId="23" fillId="0" fontId="10" numFmtId="0" xfId="0" applyAlignment="1" applyBorder="1" applyFont="1">
      <alignment horizontal="left" readingOrder="0" shrinkToFit="0" vertical="bottom" wrapText="0"/>
    </xf>
    <xf borderId="22" fillId="0" fontId="11" numFmtId="0" xfId="0" applyAlignment="1" applyBorder="1" applyFont="1">
      <alignment shrinkToFit="0" vertical="bottom" wrapText="0"/>
    </xf>
    <xf borderId="23" fillId="0" fontId="11" numFmtId="0" xfId="0" applyAlignment="1" applyBorder="1" applyFont="1">
      <alignment readingOrder="0" shrinkToFit="0" vertical="bottom" wrapText="0"/>
    </xf>
    <xf borderId="22" fillId="0" fontId="11" numFmtId="10" xfId="0" applyAlignment="1" applyBorder="1" applyFont="1" applyNumberFormat="1">
      <alignment horizontal="right" readingOrder="0" shrinkToFit="0" vertical="bottom" wrapText="0"/>
    </xf>
    <xf borderId="22" fillId="0" fontId="11" numFmtId="9" xfId="0" applyAlignment="1" applyBorder="1" applyFont="1" applyNumberFormat="1">
      <alignment horizontal="right" readingOrder="0" shrinkToFit="0" vertical="bottom" wrapText="0"/>
    </xf>
    <xf borderId="23" fillId="0" fontId="11" numFmtId="0" xfId="0" applyAlignment="1" applyBorder="1" applyFont="1">
      <alignment horizontal="left" readingOrder="0" shrinkToFit="0" vertical="bottom" wrapText="0"/>
    </xf>
    <xf borderId="22" fillId="0" fontId="10" numFmtId="10" xfId="0" applyAlignment="1" applyBorder="1" applyFont="1" applyNumberFormat="1">
      <alignment horizontal="right" readingOrder="0" shrinkToFit="0" vertical="bottom" wrapText="0"/>
    </xf>
    <xf borderId="0" fillId="0" fontId="11" numFmtId="0" xfId="0" applyAlignment="1" applyFont="1">
      <alignment shrinkToFit="0" vertical="bottom" wrapText="0"/>
    </xf>
    <xf borderId="28" fillId="0" fontId="11" numFmtId="0" xfId="0" applyAlignment="1" applyBorder="1" applyFont="1">
      <alignment shrinkToFit="0" vertical="bottom" wrapText="0"/>
    </xf>
    <xf borderId="29" fillId="0" fontId="10" numFmtId="2" xfId="0" applyAlignment="1" applyBorder="1" applyFont="1" applyNumberFormat="1">
      <alignment horizontal="right" readingOrder="0" shrinkToFit="0" vertical="bottom" wrapText="0"/>
    </xf>
    <xf borderId="29" fillId="0" fontId="10" numFmtId="2" xfId="0" applyAlignment="1" applyBorder="1" applyFont="1" applyNumberFormat="1">
      <alignment horizontal="right" readingOrder="0" shrinkToFit="0" vertical="bottom" wrapText="0"/>
    </xf>
    <xf borderId="0" fillId="0" fontId="12" numFmtId="0" xfId="0" applyAlignment="1" applyFont="1">
      <alignment horizontal="center"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horizontal="left" readingOrder="0"/>
    </xf>
    <xf borderId="0" fillId="0" fontId="14" numFmtId="0" xfId="0" applyAlignment="1" applyFont="1">
      <alignment readingOrder="0" shrinkToFit="0" wrapText="1"/>
    </xf>
    <xf borderId="23" fillId="0" fontId="13" numFmtId="0" xfId="0" applyAlignment="1" applyBorder="1" applyFont="1">
      <alignment horizontal="left" readingOrder="0" shrinkToFit="0" vertical="bottom" wrapText="0"/>
    </xf>
    <xf borderId="30" fillId="0" fontId="2" numFmtId="0" xfId="0" applyBorder="1" applyFont="1"/>
    <xf borderId="22" fillId="0" fontId="15" numFmtId="0" xfId="0" applyBorder="1" applyFont="1"/>
    <xf borderId="29" fillId="0" fontId="2" numFmtId="0" xfId="0" applyBorder="1" applyFont="1"/>
    <xf borderId="0" fillId="0" fontId="13" numFmtId="0" xfId="0" applyAlignment="1" applyFont="1">
      <alignment horizontal="center" shrinkToFit="0" vertical="bottom" wrapText="0"/>
    </xf>
    <xf borderId="0" fillId="0" fontId="13" numFmtId="0" xfId="0" applyAlignment="1" applyFont="1">
      <alignment horizontal="left" shrinkToFit="0" vertical="bottom" wrapText="0"/>
    </xf>
    <xf borderId="23" fillId="0" fontId="16" numFmtId="0" xfId="0" applyAlignment="1" applyBorder="1" applyFont="1">
      <alignment horizontal="center" readingOrder="0" vertical="bottom"/>
    </xf>
    <xf borderId="30" fillId="0" fontId="16" numFmtId="0" xfId="0" applyAlignment="1" applyBorder="1" applyFont="1">
      <alignment horizontal="center" readingOrder="0" vertical="bottom"/>
    </xf>
    <xf borderId="23" fillId="0" fontId="17" numFmtId="0" xfId="0" applyAlignment="1" applyBorder="1" applyFont="1">
      <alignment horizontal="left" readingOrder="0" shrinkToFit="0" vertical="bottom" wrapText="0"/>
    </xf>
    <xf borderId="28" fillId="8" fontId="13" numFmtId="0" xfId="0" applyAlignment="1" applyBorder="1" applyFill="1" applyFont="1">
      <alignment horizontal="right" readingOrder="0" shrinkToFit="0" vertical="bottom" wrapText="0"/>
    </xf>
    <xf borderId="29" fillId="0" fontId="13" numFmtId="0" xfId="0" applyAlignment="1" applyBorder="1" applyFont="1">
      <alignment horizontal="center" readingOrder="0" shrinkToFit="0" vertical="bottom" wrapText="0"/>
    </xf>
    <xf borderId="0" fillId="0" fontId="13" numFmtId="0" xfId="0" applyFont="1"/>
    <xf borderId="0" fillId="0" fontId="16" numFmtId="0" xfId="0" applyAlignment="1" applyFont="1">
      <alignment readingOrder="0" shrinkToFit="0" vertical="bottom" wrapText="0"/>
    </xf>
    <xf borderId="22" fillId="0" fontId="16" numFmtId="0" xfId="0" applyAlignment="1" applyBorder="1" applyFont="1">
      <alignment horizontal="left" readingOrder="0" shrinkToFit="0" vertical="bottom" wrapText="0"/>
    </xf>
    <xf borderId="26" fillId="0" fontId="16" numFmtId="0" xfId="0" applyAlignment="1" applyBorder="1" applyFont="1">
      <alignment horizontal="center" readingOrder="0"/>
    </xf>
    <xf borderId="31" fillId="0" fontId="16" numFmtId="0" xfId="0" applyAlignment="1" applyBorder="1" applyFont="1">
      <alignment horizontal="center" readingOrder="0"/>
    </xf>
    <xf borderId="32" fillId="0" fontId="16" numFmtId="0" xfId="0" applyAlignment="1" applyBorder="1" applyFont="1">
      <alignment horizontal="center" readingOrder="0"/>
    </xf>
    <xf borderId="26" fillId="0" fontId="2" numFmtId="0" xfId="0" applyBorder="1" applyFont="1"/>
    <xf borderId="28" fillId="0" fontId="2" numFmtId="0" xfId="0" applyBorder="1" applyFont="1"/>
    <xf borderId="29" fillId="0" fontId="16" numFmtId="0" xfId="0" applyAlignment="1" applyBorder="1" applyFont="1">
      <alignment horizontal="center" readingOrder="0"/>
    </xf>
    <xf borderId="26" fillId="0" fontId="13" numFmtId="0" xfId="0" applyAlignment="1" applyBorder="1" applyFont="1">
      <alignment horizontal="left" readingOrder="0"/>
    </xf>
    <xf borderId="31" fillId="0" fontId="13" numFmtId="11" xfId="0" applyAlignment="1" applyBorder="1" applyFont="1" applyNumberFormat="1">
      <alignment horizontal="center" readingOrder="0"/>
    </xf>
    <xf borderId="31" fillId="0" fontId="13" numFmtId="165" xfId="0" applyAlignment="1" applyBorder="1" applyFont="1" applyNumberFormat="1">
      <alignment horizontal="center" readingOrder="0"/>
    </xf>
    <xf borderId="31" fillId="0" fontId="13" numFmtId="164" xfId="0" applyAlignment="1" applyBorder="1" applyFont="1" applyNumberFormat="1">
      <alignment horizontal="right" readingOrder="0"/>
    </xf>
    <xf borderId="0" fillId="6" fontId="18" numFmtId="11" xfId="0" applyFont="1" applyNumberFormat="1"/>
    <xf borderId="33" fillId="0" fontId="13" numFmtId="0" xfId="0" applyAlignment="1" applyBorder="1" applyFont="1">
      <alignment horizontal="left" readingOrder="0"/>
    </xf>
    <xf borderId="32" fillId="0" fontId="13" numFmtId="0" xfId="0" applyAlignment="1" applyBorder="1" applyFont="1">
      <alignment horizontal="center" readingOrder="0"/>
    </xf>
    <xf borderId="32" fillId="0" fontId="13" numFmtId="165" xfId="0" applyAlignment="1" applyBorder="1" applyFont="1" applyNumberFormat="1">
      <alignment horizontal="center" readingOrder="0"/>
    </xf>
    <xf borderId="32" fillId="0" fontId="13" numFmtId="164" xfId="0" applyAlignment="1" applyBorder="1" applyFont="1" applyNumberFormat="1">
      <alignment horizontal="center" readingOrder="0"/>
    </xf>
    <xf borderId="23" fillId="0" fontId="16" numFmtId="0" xfId="0" applyAlignment="1" applyBorder="1" applyFont="1">
      <alignment horizontal="center" readingOrder="0"/>
    </xf>
    <xf borderId="24" fillId="0" fontId="13" numFmtId="164" xfId="0" applyAlignment="1" applyBorder="1" applyFont="1" applyNumberFormat="1">
      <alignment horizontal="center" readingOrder="0"/>
    </xf>
    <xf borderId="26" fillId="0" fontId="19" numFmtId="0" xfId="0" applyAlignment="1" applyBorder="1" applyFont="1">
      <alignment horizontal="center" readingOrder="0"/>
    </xf>
    <xf borderId="31" fillId="0" fontId="19" numFmtId="0" xfId="0" applyAlignment="1" applyBorder="1" applyFont="1">
      <alignment horizontal="center" readingOrder="0"/>
    </xf>
    <xf borderId="32" fillId="0" fontId="19" numFmtId="0" xfId="0" applyAlignment="1" applyBorder="1" applyFont="1">
      <alignment horizontal="center" readingOrder="0"/>
    </xf>
    <xf borderId="31" fillId="0" fontId="19" numFmtId="0" xfId="0" applyAlignment="1" applyBorder="1" applyFont="1">
      <alignment horizontal="center" readingOrder="0" shrinkToFit="0" wrapText="1"/>
    </xf>
    <xf borderId="29" fillId="0" fontId="19" numFmtId="0" xfId="0" applyAlignment="1" applyBorder="1" applyFont="1">
      <alignment horizontal="center" readingOrder="0"/>
    </xf>
    <xf borderId="29" fillId="0" fontId="19" numFmtId="0" xfId="0" applyAlignment="1" applyBorder="1" applyFont="1">
      <alignment horizontal="center"/>
    </xf>
    <xf borderId="31" fillId="0" fontId="13" numFmtId="0" xfId="0" applyAlignment="1" applyBorder="1" applyFont="1">
      <alignment horizontal="center" readingOrder="0"/>
    </xf>
    <xf borderId="30" fillId="0" fontId="13" numFmtId="0" xfId="0" applyAlignment="1" applyBorder="1" applyFont="1">
      <alignment shrinkToFit="0" vertical="bottom" wrapText="0"/>
    </xf>
    <xf borderId="0" fillId="0" fontId="16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readingOrder="0"/>
    </xf>
    <xf borderId="0" fillId="0" fontId="16" numFmtId="0" xfId="0" applyAlignment="1" applyFont="1">
      <alignment horizontal="center" readingOrder="0" shrinkToFit="0" vertical="bottom" wrapText="0"/>
    </xf>
    <xf borderId="33" fillId="0" fontId="16" numFmtId="0" xfId="0" applyAlignment="1" applyBorder="1" applyFont="1">
      <alignment horizontal="center" readingOrder="0"/>
    </xf>
    <xf borderId="34" fillId="0" fontId="16" numFmtId="0" xfId="0" applyAlignment="1" applyBorder="1" applyFont="1">
      <alignment horizontal="center" readingOrder="0"/>
    </xf>
    <xf borderId="35" fillId="0" fontId="16" numFmtId="0" xfId="0" applyAlignment="1" applyBorder="1" applyFont="1">
      <alignment horizontal="center" readingOrder="0"/>
    </xf>
    <xf borderId="33" fillId="0" fontId="16" numFmtId="0" xfId="0" applyAlignment="1" applyBorder="1" applyFont="1">
      <alignment horizontal="center" readingOrder="0" shrinkToFit="0" wrapText="1"/>
    </xf>
    <xf borderId="0" fillId="0" fontId="16" numFmtId="0" xfId="0" applyAlignment="1" applyFont="1">
      <alignment horizontal="center" readingOrder="0" shrinkToFit="0" wrapText="1"/>
    </xf>
    <xf borderId="23" fillId="0" fontId="16" numFmtId="0" xfId="0" applyAlignment="1" applyBorder="1" applyFont="1">
      <alignment horizontal="center" readingOrder="0" shrinkToFit="0" vertical="center" wrapText="1"/>
    </xf>
    <xf borderId="22" fillId="0" fontId="16" numFmtId="0" xfId="0" applyAlignment="1" applyBorder="1" applyFont="1">
      <alignment horizontal="center" readingOrder="0"/>
    </xf>
    <xf borderId="27" fillId="0" fontId="16" numFmtId="0" xfId="0" applyAlignment="1" applyBorder="1" applyFont="1">
      <alignment horizontal="center" readingOrder="0"/>
    </xf>
    <xf borderId="28" fillId="0" fontId="16" numFmtId="0" xfId="0" applyAlignment="1" applyBorder="1" applyFont="1">
      <alignment horizontal="center" readingOrder="0" shrinkToFit="0" wrapText="1"/>
    </xf>
    <xf borderId="8" fillId="0" fontId="17" numFmtId="0" xfId="0" applyAlignment="1" applyBorder="1" applyFont="1">
      <alignment horizontal="center" readingOrder="0" shrinkToFit="0" vertical="center" wrapText="1"/>
    </xf>
    <xf borderId="8" fillId="0" fontId="17" numFmtId="0" xfId="0" applyAlignment="1" applyBorder="1" applyFont="1">
      <alignment readingOrder="0" shrinkToFit="0" vertical="center" wrapText="1"/>
    </xf>
    <xf borderId="28" fillId="0" fontId="13" numFmtId="0" xfId="0" applyAlignment="1" applyBorder="1" applyFont="1">
      <alignment readingOrder="0"/>
    </xf>
    <xf borderId="29" fillId="0" fontId="13" numFmtId="164" xfId="0" applyAlignment="1" applyBorder="1" applyFont="1" applyNumberFormat="1">
      <alignment horizontal="center" readingOrder="0"/>
    </xf>
    <xf borderId="29" fillId="0" fontId="13" numFmtId="0" xfId="0" applyAlignment="1" applyBorder="1" applyFont="1">
      <alignment horizontal="right" readingOrder="0"/>
    </xf>
    <xf borderId="22" fillId="0" fontId="13" numFmtId="164" xfId="0" applyAlignment="1" applyBorder="1" applyFont="1" applyNumberFormat="1">
      <alignment horizontal="center" readingOrder="0"/>
    </xf>
    <xf borderId="27" fillId="0" fontId="13" numFmtId="164" xfId="0" applyAlignment="1" applyBorder="1" applyFont="1" applyNumberFormat="1">
      <alignment horizontal="center" readingOrder="0" shrinkToFit="0" vertical="bottom" wrapText="0"/>
    </xf>
    <xf borderId="28" fillId="0" fontId="13" numFmtId="2" xfId="0" applyAlignment="1" applyBorder="1" applyFont="1" applyNumberFormat="1">
      <alignment horizontal="right" readingOrder="0" shrinkToFit="0" vertical="bottom" wrapText="0"/>
    </xf>
    <xf borderId="8" fillId="0" fontId="13" numFmtId="0" xfId="0" applyAlignment="1" applyBorder="1" applyFont="1">
      <alignment shrinkToFit="0" vertical="bottom" wrapText="0"/>
    </xf>
    <xf borderId="8" fillId="0" fontId="13" numFmtId="0" xfId="0" applyAlignment="1" applyBorder="1" applyFont="1">
      <alignment readingOrder="0" shrinkToFit="0" vertical="bottom" wrapText="0"/>
    </xf>
    <xf borderId="8" fillId="0" fontId="13" numFmtId="2" xfId="0" applyAlignment="1" applyBorder="1" applyFont="1" applyNumberFormat="1">
      <alignment shrinkToFit="0" vertical="bottom" wrapText="0"/>
    </xf>
    <xf borderId="27" fillId="0" fontId="13" numFmtId="0" xfId="0" applyAlignment="1" applyBorder="1" applyFont="1">
      <alignment readingOrder="0"/>
    </xf>
    <xf borderId="29" fillId="0" fontId="16" numFmtId="164" xfId="0" applyAlignment="1" applyBorder="1" applyFont="1" applyNumberFormat="1">
      <alignment horizontal="center" readingOrder="0"/>
    </xf>
    <xf borderId="28" fillId="0" fontId="13" numFmtId="167" xfId="0" applyAlignment="1" applyBorder="1" applyFont="1" applyNumberFormat="1">
      <alignment shrinkToFit="0" vertical="bottom" wrapText="0"/>
    </xf>
    <xf borderId="23" fillId="0" fontId="16" numFmtId="0" xfId="0" applyAlignment="1" applyBorder="1" applyFont="1">
      <alignment horizontal="center" readingOrder="0" shrinkToFit="0" vertical="bottom" wrapText="0"/>
    </xf>
    <xf borderId="24" fillId="0" fontId="16" numFmtId="0" xfId="0" applyAlignment="1" applyBorder="1" applyFont="1">
      <alignment horizontal="center" readingOrder="0" shrinkToFit="0" vertical="bottom" wrapText="0"/>
    </xf>
    <xf borderId="8" fillId="0" fontId="16" numFmtId="164" xfId="0" applyAlignment="1" applyBorder="1" applyFont="1" applyNumberFormat="1">
      <alignment shrinkToFit="0" vertical="bottom" wrapText="0"/>
    </xf>
    <xf borderId="28" fillId="0" fontId="13" numFmtId="167" xfId="0" applyAlignment="1" applyBorder="1" applyFont="1" applyNumberFormat="1">
      <alignment horizontal="right" readingOrder="0" shrinkToFit="0" vertical="bottom" wrapText="0"/>
    </xf>
    <xf borderId="0" fillId="9" fontId="20" numFmtId="0" xfId="0" applyAlignment="1" applyFill="1" applyFont="1">
      <alignment horizontal="center" readingOrder="0"/>
    </xf>
    <xf borderId="8" fillId="0" fontId="20" numFmtId="0" xfId="0" applyAlignment="1" applyBorder="1" applyFont="1">
      <alignment readingOrder="0"/>
    </xf>
    <xf borderId="8" fillId="0" fontId="15" numFmtId="0" xfId="0" applyAlignment="1" applyBorder="1" applyFont="1">
      <alignment readingOrder="0"/>
    </xf>
    <xf borderId="8" fillId="0" fontId="15" numFmtId="0" xfId="0" applyAlignment="1" applyBorder="1" applyFont="1">
      <alignment readingOrder="0" shrinkToFit="0" wrapText="1"/>
    </xf>
    <xf borderId="8" fillId="0" fontId="15" numFmtId="0" xfId="0" applyBorder="1" applyFont="1"/>
    <xf borderId="8" fillId="0" fontId="15" numFmtId="9" xfId="0" applyAlignment="1" applyBorder="1" applyFont="1" applyNumberFormat="1">
      <alignment readingOrder="0"/>
    </xf>
    <xf borderId="8" fillId="0" fontId="15" numFmtId="2" xfId="0" applyBorder="1" applyFont="1" applyNumberFormat="1"/>
    <xf borderId="0" fillId="0" fontId="20" numFmtId="0" xfId="0" applyAlignment="1" applyFont="1">
      <alignment horizontal="center" readingOrder="0"/>
    </xf>
    <xf borderId="23" fillId="0" fontId="15" numFmtId="0" xfId="0" applyAlignment="1" applyBorder="1" applyFont="1">
      <alignment horizontal="center" readingOrder="0"/>
    </xf>
    <xf borderId="8" fillId="0" fontId="15" numFmtId="164" xfId="0" applyAlignment="1" applyBorder="1" applyFont="1" applyNumberFormat="1">
      <alignment horizontal="center" readingOrder="0"/>
    </xf>
    <xf borderId="8" fillId="0" fontId="15" numFmtId="164" xfId="0" applyAlignment="1" applyBorder="1" applyFont="1" applyNumberFormat="1">
      <alignment horizontal="center" readingOrder="0"/>
    </xf>
    <xf borderId="0" fillId="0" fontId="15" numFmtId="164" xfId="0" applyAlignment="1" applyFont="1" applyNumberFormat="1">
      <alignment horizontal="center" readingOrder="0"/>
    </xf>
    <xf borderId="8" fillId="0" fontId="15" numFmtId="164" xfId="0" applyAlignment="1" applyBorder="1" applyFont="1" applyNumberFormat="1">
      <alignment horizontal="center" vertical="center"/>
    </xf>
    <xf borderId="8" fillId="0" fontId="15" numFmtId="164" xfId="0" applyAlignment="1" applyBorder="1" applyFont="1" applyNumberFormat="1">
      <alignment horizontal="center"/>
    </xf>
    <xf borderId="8" fillId="0" fontId="15" numFmtId="164" xfId="0" applyAlignment="1" applyBorder="1" applyFont="1" applyNumberFormat="1">
      <alignment horizontal="center"/>
    </xf>
    <xf borderId="8" fillId="0" fontId="15" numFmtId="164" xfId="0" applyBorder="1" applyFont="1" applyNumberFormat="1"/>
    <xf borderId="8" fillId="0" fontId="15" numFmtId="164" xfId="0" applyAlignment="1" applyBorder="1" applyFont="1" applyNumberFormat="1">
      <alignment readingOrder="0"/>
    </xf>
    <xf borderId="8" fillId="0" fontId="20" numFmtId="164" xfId="0" applyAlignment="1" applyBorder="1" applyFont="1" applyNumberFormat="1">
      <alignment readingOrder="0"/>
    </xf>
    <xf borderId="0" fillId="0" fontId="20" numFmtId="0" xfId="0" applyAlignment="1" applyFont="1">
      <alignment readingOrder="0"/>
    </xf>
    <xf borderId="0" fillId="0" fontId="1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63.13"/>
    <col customWidth="1" min="3" max="3" width="17.13"/>
    <col customWidth="1" min="4" max="4" width="12.5"/>
    <col customWidth="1" min="5" max="5" width="11.13"/>
    <col customWidth="1" min="6" max="6" width="10.5"/>
    <col customWidth="1" min="7" max="26" width="8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5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1100.0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v>1100.0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1100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28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1.5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91.63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C17*12.1%</f>
        <v>133.1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38</v>
      </c>
      <c r="B36" s="23" t="s">
        <v>39</v>
      </c>
      <c r="C36" s="24">
        <f>C35*C51</f>
        <v>48.9808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5" t="s">
        <v>27</v>
      </c>
      <c r="B37" s="26"/>
      <c r="C37" s="24">
        <f>SUM(C34:C36)</f>
        <v>273.7108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2.25" customHeight="1">
      <c r="A40" s="31" t="s">
        <v>40</v>
      </c>
      <c r="B40" s="2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41</v>
      </c>
      <c r="B42" s="21" t="s">
        <v>42</v>
      </c>
      <c r="C42" s="21" t="s">
        <v>43</v>
      </c>
      <c r="D42" s="21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15</v>
      </c>
      <c r="B43" s="23" t="s">
        <v>44</v>
      </c>
      <c r="C43" s="32">
        <v>0.2</v>
      </c>
      <c r="D43" s="24">
        <f>C43*C17</f>
        <v>220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17</v>
      </c>
      <c r="B44" s="23" t="s">
        <v>45</v>
      </c>
      <c r="C44" s="32">
        <v>0.025</v>
      </c>
      <c r="D44" s="24">
        <f>C44*C17</f>
        <v>27.5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19</v>
      </c>
      <c r="B45" s="23" t="s">
        <v>46</v>
      </c>
      <c r="C45" s="33">
        <v>0.03</v>
      </c>
      <c r="D45" s="24">
        <f>C45*C17</f>
        <v>33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21</v>
      </c>
      <c r="B46" s="23" t="s">
        <v>47</v>
      </c>
      <c r="C46" s="32">
        <v>0.015</v>
      </c>
      <c r="D46" s="24">
        <f>C46*C17</f>
        <v>16.5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23</v>
      </c>
      <c r="B47" s="23" t="s">
        <v>48</v>
      </c>
      <c r="C47" s="32">
        <v>0.01</v>
      </c>
      <c r="D47" s="24">
        <f>C47*C17</f>
        <v>11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25</v>
      </c>
      <c r="B48" s="23" t="s">
        <v>49</v>
      </c>
      <c r="C48" s="32">
        <v>0.006</v>
      </c>
      <c r="D48" s="24">
        <f>C48*C17</f>
        <v>6.6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2">
        <v>0.002</v>
      </c>
      <c r="D49" s="24">
        <f>C49*C17</f>
        <v>2.2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2" t="s">
        <v>52</v>
      </c>
      <c r="B50" s="23" t="s">
        <v>53</v>
      </c>
      <c r="C50" s="32">
        <v>0.08</v>
      </c>
      <c r="D50" s="24">
        <f>C50*C17</f>
        <v>88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5" t="s">
        <v>54</v>
      </c>
      <c r="B51" s="26"/>
      <c r="C51" s="32">
        <f t="shared" ref="C51:D51" si="1">SUM(C43:C50)</f>
        <v>0.368</v>
      </c>
      <c r="D51" s="24">
        <f t="shared" si="1"/>
        <v>404.8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55</v>
      </c>
      <c r="B52" s="34"/>
      <c r="C52" s="35"/>
      <c r="D52" s="3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56</v>
      </c>
      <c r="B53" s="34"/>
      <c r="C53" s="35"/>
      <c r="D53" s="3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9" t="s">
        <v>57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9" t="s">
        <v>58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 t="s">
        <v>59</v>
      </c>
      <c r="B58" s="21" t="s">
        <v>60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15</v>
      </c>
      <c r="B59" s="23" t="s">
        <v>61</v>
      </c>
      <c r="C59" s="24">
        <f>(2*3.5*26)-C17*0.06</f>
        <v>116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17</v>
      </c>
      <c r="B60" s="23" t="s">
        <v>62</v>
      </c>
      <c r="C60" s="24">
        <f>13.1*0.8*21</f>
        <v>220.08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19</v>
      </c>
      <c r="B61" s="23" t="s">
        <v>63</v>
      </c>
      <c r="C61" s="24">
        <v>123.16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2" t="s">
        <v>21</v>
      </c>
      <c r="B62" s="23" t="s">
        <v>26</v>
      </c>
      <c r="C62" s="3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5" t="s">
        <v>27</v>
      </c>
      <c r="B63" s="26"/>
      <c r="C63" s="24">
        <f>SUM(C59:C62)</f>
        <v>459.24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" t="s">
        <v>64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27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 t="s">
        <v>66</v>
      </c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0">
        <v>2.0</v>
      </c>
      <c r="B69" s="21" t="s">
        <v>67</v>
      </c>
      <c r="C69" s="21" t="s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34</v>
      </c>
      <c r="B70" s="23" t="s">
        <v>35</v>
      </c>
      <c r="C70" s="24">
        <f>C37</f>
        <v>273.7108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41</v>
      </c>
      <c r="B71" s="23" t="s">
        <v>42</v>
      </c>
      <c r="C71" s="24">
        <f>D51</f>
        <v>404.8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2" t="s">
        <v>59</v>
      </c>
      <c r="B72" s="23" t="s">
        <v>60</v>
      </c>
      <c r="C72" s="24">
        <f>C63</f>
        <v>459.24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5" t="s">
        <v>27</v>
      </c>
      <c r="B73" s="26"/>
      <c r="C73" s="24">
        <f>SUM(C70:C72)</f>
        <v>1137.7508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 t="s">
        <v>68</v>
      </c>
      <c r="B76" s="2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0">
        <v>3.0</v>
      </c>
      <c r="B78" s="21" t="s">
        <v>69</v>
      </c>
      <c r="C78" s="21" t="s">
        <v>14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15</v>
      </c>
      <c r="B79" s="38" t="s">
        <v>70</v>
      </c>
      <c r="C79" s="24">
        <f>C17*0.46%</f>
        <v>5.06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17</v>
      </c>
      <c r="B80" s="38" t="s">
        <v>71</v>
      </c>
      <c r="C80" s="24">
        <f>C17*0.04%</f>
        <v>0.44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19</v>
      </c>
      <c r="B81" s="38" t="s">
        <v>72</v>
      </c>
      <c r="C81" s="24">
        <f>C17*2%</f>
        <v>22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21</v>
      </c>
      <c r="B82" s="38" t="s">
        <v>73</v>
      </c>
      <c r="C82" s="24">
        <f>C17*1.94%</f>
        <v>21.34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23</v>
      </c>
      <c r="B83" s="38" t="s">
        <v>74</v>
      </c>
      <c r="C83" s="24">
        <f>C17*0.71%</f>
        <v>7.81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2" t="s">
        <v>25</v>
      </c>
      <c r="B84" s="38" t="s">
        <v>75</v>
      </c>
      <c r="C84" s="24">
        <f>C17*2%</f>
        <v>22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5" t="s">
        <v>27</v>
      </c>
      <c r="B85" s="26"/>
      <c r="C85" s="24">
        <f>SUM(C79:C84)</f>
        <v>78.65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 t="s">
        <v>76</v>
      </c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27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9" t="s">
        <v>78</v>
      </c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0" t="s">
        <v>79</v>
      </c>
      <c r="B93" s="21" t="s">
        <v>80</v>
      </c>
      <c r="C93" s="21" t="s">
        <v>14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15</v>
      </c>
      <c r="B94" s="23" t="s">
        <v>81</v>
      </c>
      <c r="C94" s="24">
        <f>9.075%*C17</f>
        <v>99.825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17</v>
      </c>
      <c r="B95" s="23" t="s">
        <v>82</v>
      </c>
      <c r="C95" s="24">
        <f>0.28%*C17</f>
        <v>3.08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19</v>
      </c>
      <c r="B96" s="23" t="s">
        <v>83</v>
      </c>
      <c r="C96" s="24">
        <f>0.04%*C17</f>
        <v>0.44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21</v>
      </c>
      <c r="B97" s="23" t="s">
        <v>84</v>
      </c>
      <c r="C97" s="24">
        <f>0.27%*C17</f>
        <v>2.97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23</v>
      </c>
      <c r="B98" s="23" t="s">
        <v>85</v>
      </c>
      <c r="C98" s="24">
        <f>0.0003*C17</f>
        <v>0.33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86</v>
      </c>
      <c r="B99" s="23" t="s">
        <v>87</v>
      </c>
      <c r="C99" s="24">
        <f>C98*C51</f>
        <v>0.12144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2" t="s">
        <v>25</v>
      </c>
      <c r="B100" s="23" t="s">
        <v>88</v>
      </c>
      <c r="C100" s="24">
        <f>1.66%*C17</f>
        <v>18.26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0" t="s">
        <v>50</v>
      </c>
      <c r="B101" s="23" t="s">
        <v>89</v>
      </c>
      <c r="C101" s="24">
        <f>C51*(SUM(C94:C100))</f>
        <v>46.00972992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5" t="s">
        <v>54</v>
      </c>
      <c r="B102" s="26"/>
      <c r="C102" s="24">
        <f>SUM(C94:C101)</f>
        <v>171.0361699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9" t="s">
        <v>90</v>
      </c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0" t="s">
        <v>91</v>
      </c>
      <c r="B107" s="21" t="s">
        <v>92</v>
      </c>
      <c r="C107" s="21" t="s">
        <v>14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2" t="s">
        <v>15</v>
      </c>
      <c r="B108" s="23" t="s">
        <v>93</v>
      </c>
      <c r="C108" s="36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5" t="s">
        <v>27</v>
      </c>
      <c r="B109" s="26"/>
      <c r="C109" s="36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9" t="s">
        <v>94</v>
      </c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0">
        <v>4.0</v>
      </c>
      <c r="B114" s="21" t="s">
        <v>95</v>
      </c>
      <c r="C114" s="21" t="s">
        <v>14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79</v>
      </c>
      <c r="B115" s="23" t="s">
        <v>96</v>
      </c>
      <c r="C115" s="24">
        <f>C102</f>
        <v>171.0361699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2" t="s">
        <v>91</v>
      </c>
      <c r="B116" s="23" t="s">
        <v>97</v>
      </c>
      <c r="C116" s="36">
        <f>C109</f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5" t="s">
        <v>27</v>
      </c>
      <c r="B117" s="26"/>
      <c r="C117" s="24">
        <f>SUM(C115:C116)</f>
        <v>171.0361699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 t="s">
        <v>98</v>
      </c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0">
        <v>5.0</v>
      </c>
      <c r="B122" s="39" t="s">
        <v>99</v>
      </c>
      <c r="C122" s="21" t="s">
        <v>14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15</v>
      </c>
      <c r="B123" s="23" t="s">
        <v>100</v>
      </c>
      <c r="C123" s="40">
        <f>'Equipamentos, Uniformes e EPIs'!E24/12</f>
        <v>45.12333333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17</v>
      </c>
      <c r="B124" s="23" t="s">
        <v>101</v>
      </c>
      <c r="C124" s="41">
        <v>486.15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19</v>
      </c>
      <c r="B125" s="23" t="s">
        <v>102</v>
      </c>
      <c r="C125" s="40">
        <f>('Equipamentos, Uniformes e EPIs'!G3+'Equipamentos, Uniformes e EPIs'!G4+'Equipamentos, Uniformes e EPIs'!G5)/15/12</f>
        <v>0.6290916667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21</v>
      </c>
      <c r="B126" s="23" t="s">
        <v>26</v>
      </c>
      <c r="C126" s="4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5" t="s">
        <v>54</v>
      </c>
      <c r="B127" s="26"/>
      <c r="C127" s="40">
        <f>SUM(C123:C126)</f>
        <v>531.902425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9" t="s">
        <v>103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 t="s">
        <v>104</v>
      </c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0">
        <v>6.0</v>
      </c>
      <c r="B132" s="39" t="s">
        <v>105</v>
      </c>
      <c r="C132" s="21" t="s">
        <v>43</v>
      </c>
      <c r="D132" s="21" t="s">
        <v>14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15</v>
      </c>
      <c r="B133" s="23" t="s">
        <v>106</v>
      </c>
      <c r="C133" s="43">
        <v>0.04</v>
      </c>
      <c r="D133" s="24">
        <f>C151*C133</f>
        <v>120.7735758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17</v>
      </c>
      <c r="B134" s="23" t="s">
        <v>107</v>
      </c>
      <c r="C134" s="43">
        <v>0.08</v>
      </c>
      <c r="D134" s="24">
        <f>(C151+D133)*C134</f>
        <v>251.2090377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 t="s">
        <v>19</v>
      </c>
      <c r="B135" s="23" t="s">
        <v>108</v>
      </c>
      <c r="C135" s="44"/>
      <c r="D135" s="4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109</v>
      </c>
      <c r="C136" s="45">
        <v>0.0165</v>
      </c>
      <c r="D136" s="46">
        <f>((C151)/1-(C136+C137+C138))*C136</f>
        <v>49.81674877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110</v>
      </c>
      <c r="C137" s="47">
        <v>0.076</v>
      </c>
      <c r="D137" s="48">
        <f>((C151)/1-(C139))*C137</f>
        <v>229.458964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2"/>
      <c r="B138" s="23" t="s">
        <v>111</v>
      </c>
      <c r="C138" s="49">
        <v>0.05</v>
      </c>
      <c r="D138" s="48">
        <f>((C151)/1-(C139))*C138</f>
        <v>150.9598447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5" t="s">
        <v>54</v>
      </c>
      <c r="B139" s="26"/>
      <c r="C139" s="50">
        <f>SUM(C136:C138)</f>
        <v>0.1425</v>
      </c>
      <c r="D139" s="51">
        <f>SUM(D133:D138)</f>
        <v>802.218171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112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9" t="s">
        <v>113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 t="s">
        <v>114</v>
      </c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0"/>
      <c r="B145" s="21" t="s">
        <v>115</v>
      </c>
      <c r="C145" s="21" t="s">
        <v>14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3" t="s">
        <v>15</v>
      </c>
      <c r="B146" s="23" t="s">
        <v>12</v>
      </c>
      <c r="C146" s="54">
        <f>C23</f>
        <v>1100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3" t="s">
        <v>17</v>
      </c>
      <c r="B147" s="23" t="s">
        <v>29</v>
      </c>
      <c r="C147" s="54">
        <f>C73</f>
        <v>1137.7508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3" t="s">
        <v>19</v>
      </c>
      <c r="B148" s="23" t="s">
        <v>68</v>
      </c>
      <c r="C148" s="54">
        <f>C85</f>
        <v>78.65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3" t="s">
        <v>21</v>
      </c>
      <c r="B149" s="23" t="s">
        <v>76</v>
      </c>
      <c r="C149" s="54">
        <f>C117</f>
        <v>171.0361699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3" t="s">
        <v>23</v>
      </c>
      <c r="B150" s="23" t="s">
        <v>98</v>
      </c>
      <c r="C150" s="55">
        <f>C127</f>
        <v>531.902425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5" t="s">
        <v>116</v>
      </c>
      <c r="B151" s="26"/>
      <c r="C151" s="54">
        <f>SUM(C146:C150)</f>
        <v>3019.339395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3" t="s">
        <v>25</v>
      </c>
      <c r="B152" s="23" t="s">
        <v>117</v>
      </c>
      <c r="C152" s="55">
        <f>D139</f>
        <v>802.218171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5" t="s">
        <v>118</v>
      </c>
      <c r="B153" s="26"/>
      <c r="C153" s="54">
        <f>SUM(C151:C152)</f>
        <v>3821.557566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117:B117"/>
    <mergeCell ref="A120:C120"/>
    <mergeCell ref="A127:B127"/>
    <mergeCell ref="A130:C130"/>
    <mergeCell ref="A139:B139"/>
    <mergeCell ref="A143:C143"/>
    <mergeCell ref="A151:B151"/>
    <mergeCell ref="A153:B153"/>
    <mergeCell ref="A88:C88"/>
    <mergeCell ref="A89:D89"/>
    <mergeCell ref="A91:C91"/>
    <mergeCell ref="A102:B102"/>
    <mergeCell ref="A105:C105"/>
    <mergeCell ref="A109:B109"/>
    <mergeCell ref="A112:C112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25.88"/>
    <col customWidth="1" min="3" max="3" width="17.63"/>
    <col customWidth="1" min="4" max="4" width="15.0"/>
    <col customWidth="1" min="7" max="7" width="19.5"/>
  </cols>
  <sheetData>
    <row r="1">
      <c r="A1" s="156" t="s">
        <v>248</v>
      </c>
    </row>
    <row r="2">
      <c r="A2" s="157" t="s">
        <v>249</v>
      </c>
      <c r="B2" s="157" t="s">
        <v>250</v>
      </c>
      <c r="C2" s="157" t="s">
        <v>251</v>
      </c>
      <c r="D2" s="157" t="s">
        <v>252</v>
      </c>
      <c r="E2" s="157" t="s">
        <v>253</v>
      </c>
      <c r="F2" s="158" t="s">
        <v>254</v>
      </c>
      <c r="G2" s="158" t="s">
        <v>255</v>
      </c>
    </row>
    <row r="3">
      <c r="A3" s="158">
        <v>1.0</v>
      </c>
      <c r="B3" s="159" t="s">
        <v>256</v>
      </c>
      <c r="C3" s="158">
        <v>1.0</v>
      </c>
      <c r="D3" s="158">
        <v>151.8</v>
      </c>
      <c r="E3" s="160">
        <f t="shared" ref="E3:E18" si="1">C3*D3</f>
        <v>151.8</v>
      </c>
      <c r="F3" s="161">
        <v>0.15</v>
      </c>
      <c r="G3" s="162">
        <f t="shared" ref="G3:G18" si="2">E3*F3</f>
        <v>22.77</v>
      </c>
    </row>
    <row r="4">
      <c r="A4" s="158">
        <v>2.0</v>
      </c>
      <c r="B4" s="159" t="s">
        <v>257</v>
      </c>
      <c r="C4" s="158">
        <v>1.0</v>
      </c>
      <c r="D4" s="158">
        <v>196.81</v>
      </c>
      <c r="E4" s="160">
        <f t="shared" si="1"/>
        <v>196.81</v>
      </c>
      <c r="F4" s="161">
        <v>0.15</v>
      </c>
      <c r="G4" s="162">
        <f t="shared" si="2"/>
        <v>29.5215</v>
      </c>
    </row>
    <row r="5">
      <c r="A5" s="158">
        <v>3.0</v>
      </c>
      <c r="B5" s="159" t="s">
        <v>258</v>
      </c>
      <c r="C5" s="158">
        <v>10.0</v>
      </c>
      <c r="D5" s="158">
        <v>40.63</v>
      </c>
      <c r="E5" s="160">
        <f t="shared" si="1"/>
        <v>406.3</v>
      </c>
      <c r="F5" s="161">
        <v>0.15</v>
      </c>
      <c r="G5" s="162">
        <f t="shared" si="2"/>
        <v>60.945</v>
      </c>
    </row>
    <row r="6">
      <c r="A6" s="158">
        <v>4.0</v>
      </c>
      <c r="B6" s="158" t="s">
        <v>259</v>
      </c>
      <c r="C6" s="158">
        <v>1.0</v>
      </c>
      <c r="D6" s="158">
        <v>34.35</v>
      </c>
      <c r="E6" s="160">
        <f t="shared" si="1"/>
        <v>34.35</v>
      </c>
      <c r="F6" s="161">
        <v>0.15</v>
      </c>
      <c r="G6" s="162">
        <f t="shared" si="2"/>
        <v>5.1525</v>
      </c>
    </row>
    <row r="7">
      <c r="A7" s="158">
        <v>5.0</v>
      </c>
      <c r="B7" s="158" t="s">
        <v>260</v>
      </c>
      <c r="C7" s="158">
        <v>1.0</v>
      </c>
      <c r="D7" s="158">
        <v>29.47</v>
      </c>
      <c r="E7" s="160">
        <f t="shared" si="1"/>
        <v>29.47</v>
      </c>
      <c r="F7" s="161">
        <v>0.15</v>
      </c>
      <c r="G7" s="162">
        <f t="shared" si="2"/>
        <v>4.4205</v>
      </c>
    </row>
    <row r="8">
      <c r="A8" s="158">
        <v>6.0</v>
      </c>
      <c r="B8" s="158" t="s">
        <v>261</v>
      </c>
      <c r="C8" s="158">
        <v>1.0</v>
      </c>
      <c r="D8" s="158">
        <v>17.66</v>
      </c>
      <c r="E8" s="160">
        <f t="shared" si="1"/>
        <v>17.66</v>
      </c>
      <c r="F8" s="161">
        <v>0.15</v>
      </c>
      <c r="G8" s="162">
        <f t="shared" si="2"/>
        <v>2.649</v>
      </c>
    </row>
    <row r="9">
      <c r="A9" s="158">
        <v>7.0</v>
      </c>
      <c r="B9" s="158" t="s">
        <v>262</v>
      </c>
      <c r="C9" s="158">
        <v>1.0</v>
      </c>
      <c r="D9" s="158">
        <v>23.23</v>
      </c>
      <c r="E9" s="160">
        <f t="shared" si="1"/>
        <v>23.23</v>
      </c>
      <c r="F9" s="161">
        <v>0.15</v>
      </c>
      <c r="G9" s="162">
        <f t="shared" si="2"/>
        <v>3.4845</v>
      </c>
    </row>
    <row r="10">
      <c r="A10" s="158">
        <v>8.0</v>
      </c>
      <c r="B10" s="159" t="s">
        <v>263</v>
      </c>
      <c r="C10" s="158">
        <v>1.0</v>
      </c>
      <c r="D10" s="158">
        <v>439.36</v>
      </c>
      <c r="E10" s="160">
        <f t="shared" si="1"/>
        <v>439.36</v>
      </c>
      <c r="F10" s="161">
        <v>0.15</v>
      </c>
      <c r="G10" s="162">
        <f t="shared" si="2"/>
        <v>65.904</v>
      </c>
    </row>
    <row r="11">
      <c r="A11" s="158">
        <v>9.0</v>
      </c>
      <c r="B11" s="158" t="s">
        <v>264</v>
      </c>
      <c r="C11" s="158">
        <v>15.0</v>
      </c>
      <c r="D11" s="158">
        <v>6.44</v>
      </c>
      <c r="E11" s="160">
        <f t="shared" si="1"/>
        <v>96.6</v>
      </c>
      <c r="F11" s="161">
        <v>0.15</v>
      </c>
      <c r="G11" s="162">
        <f t="shared" si="2"/>
        <v>14.49</v>
      </c>
    </row>
    <row r="12">
      <c r="A12" s="158">
        <v>10.0</v>
      </c>
      <c r="B12" s="158" t="s">
        <v>265</v>
      </c>
      <c r="C12" s="158">
        <v>15.0</v>
      </c>
      <c r="D12" s="158">
        <v>29.2</v>
      </c>
      <c r="E12" s="160">
        <f t="shared" si="1"/>
        <v>438</v>
      </c>
      <c r="F12" s="161">
        <v>0.15</v>
      </c>
      <c r="G12" s="162">
        <f t="shared" si="2"/>
        <v>65.7</v>
      </c>
    </row>
    <row r="13">
      <c r="A13" s="158">
        <v>11.0</v>
      </c>
      <c r="B13" s="159" t="s">
        <v>266</v>
      </c>
      <c r="C13" s="158">
        <v>15.0</v>
      </c>
      <c r="D13" s="158">
        <v>5.76</v>
      </c>
      <c r="E13" s="160">
        <f t="shared" si="1"/>
        <v>86.4</v>
      </c>
      <c r="F13" s="161">
        <v>0.15</v>
      </c>
      <c r="G13" s="162">
        <f t="shared" si="2"/>
        <v>12.96</v>
      </c>
    </row>
    <row r="14">
      <c r="A14" s="158">
        <v>12.0</v>
      </c>
      <c r="B14" s="158" t="s">
        <v>267</v>
      </c>
      <c r="C14" s="158">
        <v>1.0</v>
      </c>
      <c r="D14" s="158">
        <v>18.1</v>
      </c>
      <c r="E14" s="160">
        <f t="shared" si="1"/>
        <v>18.1</v>
      </c>
      <c r="F14" s="161">
        <v>0.15</v>
      </c>
      <c r="G14" s="162">
        <f t="shared" si="2"/>
        <v>2.715</v>
      </c>
    </row>
    <row r="15">
      <c r="A15" s="158">
        <v>13.0</v>
      </c>
      <c r="B15" s="158" t="s">
        <v>268</v>
      </c>
      <c r="C15" s="158">
        <v>1.0</v>
      </c>
      <c r="D15" s="158">
        <v>19.65</v>
      </c>
      <c r="E15" s="160">
        <f t="shared" si="1"/>
        <v>19.65</v>
      </c>
      <c r="F15" s="161">
        <v>0.15</v>
      </c>
      <c r="G15" s="162">
        <f t="shared" si="2"/>
        <v>2.9475</v>
      </c>
    </row>
    <row r="16">
      <c r="A16" s="158">
        <v>14.0</v>
      </c>
      <c r="B16" s="158" t="s">
        <v>269</v>
      </c>
      <c r="C16" s="158">
        <v>1.0</v>
      </c>
      <c r="D16" s="158">
        <v>8.79</v>
      </c>
      <c r="E16" s="160">
        <f t="shared" si="1"/>
        <v>8.79</v>
      </c>
      <c r="F16" s="161">
        <v>0.15</v>
      </c>
      <c r="G16" s="162">
        <f t="shared" si="2"/>
        <v>1.3185</v>
      </c>
    </row>
    <row r="17">
      <c r="A17" s="158">
        <v>15.0</v>
      </c>
      <c r="B17" s="158" t="s">
        <v>270</v>
      </c>
      <c r="C17" s="158">
        <v>1.0</v>
      </c>
      <c r="D17" s="158">
        <v>17.3</v>
      </c>
      <c r="E17" s="160">
        <f t="shared" si="1"/>
        <v>17.3</v>
      </c>
      <c r="F17" s="161">
        <v>0.15</v>
      </c>
      <c r="G17" s="162">
        <f t="shared" si="2"/>
        <v>2.595</v>
      </c>
    </row>
    <row r="18">
      <c r="A18" s="158">
        <v>16.0</v>
      </c>
      <c r="B18" s="158" t="s">
        <v>265</v>
      </c>
      <c r="C18" s="158">
        <v>1.0</v>
      </c>
      <c r="D18" s="158">
        <v>29.2</v>
      </c>
      <c r="E18" s="160">
        <f t="shared" si="1"/>
        <v>29.2</v>
      </c>
      <c r="F18" s="161">
        <v>0.15</v>
      </c>
      <c r="G18" s="162">
        <f t="shared" si="2"/>
        <v>4.38</v>
      </c>
    </row>
    <row r="19">
      <c r="A19" s="163" t="s">
        <v>271</v>
      </c>
    </row>
    <row r="20">
      <c r="A20" s="158">
        <v>1.0</v>
      </c>
      <c r="B20" s="158" t="s">
        <v>272</v>
      </c>
      <c r="C20" s="158">
        <v>4.0</v>
      </c>
      <c r="D20" s="158">
        <v>32.05</v>
      </c>
      <c r="E20" s="160">
        <f t="shared" ref="E20:E23" si="3">C20*D20</f>
        <v>128.2</v>
      </c>
    </row>
    <row r="21">
      <c r="A21" s="158">
        <v>2.0</v>
      </c>
      <c r="B21" s="158" t="s">
        <v>273</v>
      </c>
      <c r="C21" s="158">
        <v>4.0</v>
      </c>
      <c r="D21" s="158">
        <v>26.05</v>
      </c>
      <c r="E21" s="160">
        <f t="shared" si="3"/>
        <v>104.2</v>
      </c>
    </row>
    <row r="22">
      <c r="A22" s="158">
        <v>3.0</v>
      </c>
      <c r="B22" s="158" t="s">
        <v>274</v>
      </c>
      <c r="C22" s="158">
        <v>4.0</v>
      </c>
      <c r="D22" s="158">
        <v>49.94</v>
      </c>
      <c r="E22" s="160">
        <f t="shared" si="3"/>
        <v>199.76</v>
      </c>
    </row>
    <row r="23">
      <c r="A23" s="158">
        <v>4.0</v>
      </c>
      <c r="B23" s="158" t="s">
        <v>275</v>
      </c>
      <c r="C23" s="158">
        <v>4.0</v>
      </c>
      <c r="D23" s="158">
        <v>27.33</v>
      </c>
      <c r="E23" s="160">
        <f t="shared" si="3"/>
        <v>109.32</v>
      </c>
    </row>
    <row r="24">
      <c r="A24" s="160"/>
      <c r="B24" s="157" t="s">
        <v>169</v>
      </c>
      <c r="C24" s="160"/>
      <c r="D24" s="160"/>
      <c r="E24" s="160">
        <f>SUM(E20:E23)</f>
        <v>541.48</v>
      </c>
    </row>
  </sheetData>
  <mergeCells count="2">
    <mergeCell ref="A1:G1"/>
    <mergeCell ref="A19:E1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0"/>
    <col customWidth="1" min="2" max="2" width="25.63"/>
    <col customWidth="1" min="3" max="4" width="7.63"/>
    <col customWidth="1" min="5" max="5" width="6.13"/>
    <col customWidth="1" min="6" max="6" width="13.63"/>
    <col customWidth="1" min="7" max="7" width="12.0"/>
    <col customWidth="1" min="8" max="8" width="13.25"/>
    <col customWidth="1" min="9" max="10" width="7.63"/>
    <col customWidth="1" min="11" max="11" width="11.75"/>
    <col customWidth="1" min="12" max="12" width="11.63"/>
    <col customWidth="1" min="13" max="13" width="15.0"/>
    <col customWidth="1" min="14" max="26" width="7.63"/>
  </cols>
  <sheetData>
    <row r="1" ht="14.25" customHeight="1">
      <c r="A1" s="164" t="s">
        <v>276</v>
      </c>
      <c r="B1" s="86"/>
      <c r="C1" s="86"/>
      <c r="D1" s="86"/>
      <c r="E1" s="86"/>
      <c r="F1" s="86"/>
      <c r="G1" s="86"/>
      <c r="H1" s="65"/>
    </row>
    <row r="2" ht="14.25" customHeight="1">
      <c r="A2" s="164" t="s">
        <v>277</v>
      </c>
      <c r="B2" s="86"/>
      <c r="C2" s="86"/>
      <c r="D2" s="86"/>
      <c r="E2" s="86"/>
      <c r="F2" s="86"/>
      <c r="G2" s="86"/>
      <c r="H2" s="65"/>
    </row>
    <row r="3" ht="14.25" customHeight="1">
      <c r="A3" s="160"/>
      <c r="B3" s="160"/>
      <c r="C3" s="160"/>
      <c r="D3" s="160"/>
      <c r="E3" s="160"/>
      <c r="F3" s="160"/>
      <c r="G3" s="160"/>
      <c r="H3" s="160"/>
    </row>
    <row r="4" ht="14.25" customHeight="1">
      <c r="A4" s="158" t="s">
        <v>278</v>
      </c>
      <c r="B4" s="158" t="s">
        <v>279</v>
      </c>
      <c r="C4" s="160"/>
      <c r="D4" s="160"/>
      <c r="E4" s="158" t="s">
        <v>280</v>
      </c>
      <c r="F4" s="158" t="s">
        <v>281</v>
      </c>
      <c r="G4" s="158" t="s">
        <v>253</v>
      </c>
      <c r="H4" s="158" t="s">
        <v>229</v>
      </c>
    </row>
    <row r="5" ht="14.25" customHeight="1">
      <c r="A5" s="158">
        <v>1.0</v>
      </c>
      <c r="B5" s="158" t="s">
        <v>282</v>
      </c>
      <c r="C5" s="160"/>
      <c r="D5" s="160"/>
      <c r="E5" s="158">
        <v>13.0</v>
      </c>
      <c r="F5" s="165">
        <f>'Aux. Administrativo'!C153</f>
        <v>3707.931715</v>
      </c>
      <c r="G5" s="166">
        <f t="shared" ref="G5:G9" si="1">E5*F5</f>
        <v>48203.1123</v>
      </c>
      <c r="H5" s="166">
        <f t="shared" ref="H5:H11" si="2">G5*12</f>
        <v>578437.3475</v>
      </c>
      <c r="K5" s="167"/>
    </row>
    <row r="6" ht="14.25" customHeight="1">
      <c r="A6" s="158">
        <v>2.0</v>
      </c>
      <c r="B6" s="158" t="s">
        <v>283</v>
      </c>
      <c r="C6" s="160"/>
      <c r="D6" s="160"/>
      <c r="E6" s="158">
        <v>2.0</v>
      </c>
      <c r="F6" s="165">
        <f>Recepcionista!C153</f>
        <v>3205.44127</v>
      </c>
      <c r="G6" s="166">
        <f t="shared" si="1"/>
        <v>6410.882539</v>
      </c>
      <c r="H6" s="166">
        <f t="shared" si="2"/>
        <v>76930.59047</v>
      </c>
      <c r="K6" s="167"/>
    </row>
    <row r="7" ht="14.25" customHeight="1">
      <c r="A7" s="158">
        <v>3.0</v>
      </c>
      <c r="B7" s="158" t="s">
        <v>284</v>
      </c>
      <c r="C7" s="160"/>
      <c r="D7" s="160"/>
      <c r="E7" s="158">
        <v>4.0</v>
      </c>
      <c r="F7" s="165">
        <f>'Motoristas '!C153</f>
        <v>5139.564383</v>
      </c>
      <c r="G7" s="166">
        <f t="shared" si="1"/>
        <v>20558.25753</v>
      </c>
      <c r="H7" s="166">
        <f t="shared" si="2"/>
        <v>246699.0904</v>
      </c>
      <c r="K7" s="167"/>
    </row>
    <row r="8" ht="14.25" customHeight="1">
      <c r="A8" s="158">
        <v>4.0</v>
      </c>
      <c r="B8" s="158" t="s">
        <v>285</v>
      </c>
      <c r="C8" s="160"/>
      <c r="D8" s="160"/>
      <c r="E8" s="158">
        <v>30.0</v>
      </c>
      <c r="F8" s="165">
        <f>'Motoristas - Diárias'!C15</f>
        <v>112.36227</v>
      </c>
      <c r="G8" s="166">
        <f t="shared" si="1"/>
        <v>3370.8681</v>
      </c>
      <c r="H8" s="166">
        <f t="shared" si="2"/>
        <v>40450.4172</v>
      </c>
      <c r="K8" s="167"/>
    </row>
    <row r="9" ht="14.25" customHeight="1">
      <c r="A9" s="158">
        <v>5.0</v>
      </c>
      <c r="B9" s="158" t="s">
        <v>286</v>
      </c>
      <c r="C9" s="160"/>
      <c r="D9" s="160"/>
      <c r="E9" s="158">
        <v>1.0</v>
      </c>
      <c r="F9" s="168">
        <f>Jardineiro!C153</f>
        <v>3247.286311</v>
      </c>
      <c r="G9" s="169">
        <f t="shared" si="1"/>
        <v>3247.286311</v>
      </c>
      <c r="H9" s="169">
        <f t="shared" si="2"/>
        <v>38967.43573</v>
      </c>
      <c r="K9" s="167"/>
    </row>
    <row r="10" ht="14.25" customHeight="1">
      <c r="A10" s="158">
        <v>6.0</v>
      </c>
      <c r="B10" s="158" t="s">
        <v>287</v>
      </c>
      <c r="C10" s="160"/>
      <c r="D10" s="160"/>
      <c r="E10" s="158">
        <v>1.0</v>
      </c>
      <c r="F10" s="170">
        <f>'Aux. de Carga e Descarga'!C153</f>
        <v>3212.392494</v>
      </c>
      <c r="G10" s="169">
        <f>F10*E10</f>
        <v>3212.392494</v>
      </c>
      <c r="H10" s="169">
        <f t="shared" si="2"/>
        <v>38548.70993</v>
      </c>
      <c r="K10" s="167"/>
    </row>
    <row r="11" ht="14.25" customHeight="1">
      <c r="A11" s="158">
        <v>7.0</v>
      </c>
      <c r="B11" s="158" t="s">
        <v>288</v>
      </c>
      <c r="C11" s="160"/>
      <c r="D11" s="160"/>
      <c r="E11" s="160"/>
      <c r="F11" s="170">
        <f>'Complemento de Limpeza'!D68</f>
        <v>40984.26345</v>
      </c>
      <c r="G11" s="166">
        <f>F11</f>
        <v>40984.26345</v>
      </c>
      <c r="H11" s="166">
        <f t="shared" si="2"/>
        <v>491811.1614</v>
      </c>
      <c r="K11" s="167"/>
    </row>
    <row r="12" ht="14.25" customHeight="1">
      <c r="A12" s="160"/>
      <c r="B12" s="158"/>
      <c r="C12" s="160"/>
      <c r="D12" s="160"/>
      <c r="E12" s="160"/>
      <c r="F12" s="171"/>
      <c r="G12" s="172"/>
      <c r="H12" s="172"/>
    </row>
    <row r="13" ht="14.25" customHeight="1">
      <c r="A13" s="160"/>
      <c r="B13" s="158" t="s">
        <v>289</v>
      </c>
      <c r="C13" s="160"/>
      <c r="D13" s="160"/>
      <c r="E13" s="160"/>
      <c r="F13" s="171"/>
      <c r="G13" s="172">
        <f t="shared" ref="G13:H13" si="3">SUM(G5:G12)</f>
        <v>125987.0627</v>
      </c>
      <c r="H13" s="173">
        <f t="shared" si="3"/>
        <v>1511844.753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>
      <c r="B21" s="174" t="s">
        <v>290</v>
      </c>
    </row>
    <row r="22" ht="14.25" customHeight="1">
      <c r="B22" s="175" t="s">
        <v>291</v>
      </c>
    </row>
    <row r="23" ht="14.25" customHeight="1">
      <c r="B23" s="175" t="s">
        <v>292</v>
      </c>
    </row>
    <row r="24" ht="14.25" customHeight="1">
      <c r="B24" s="175" t="s">
        <v>293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3">
    <mergeCell ref="A1:H1"/>
    <mergeCell ref="A2:H2"/>
    <mergeCell ref="B21:G21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63.13"/>
    <col customWidth="1" min="3" max="3" width="20.25"/>
    <col customWidth="1" min="4" max="4" width="12.5"/>
    <col customWidth="1" min="5" max="5" width="11.13"/>
    <col customWidth="1" min="6" max="6" width="10.5"/>
    <col customWidth="1" min="7" max="26" width="8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119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1175.38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120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v>1175.38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1175.38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97.909154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C17*12.1%</f>
        <v>142.22098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38</v>
      </c>
      <c r="B36" s="23" t="s">
        <v>39</v>
      </c>
      <c r="C36" s="24">
        <f>C35*C51</f>
        <v>52.33732064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5" t="s">
        <v>27</v>
      </c>
      <c r="B37" s="26"/>
      <c r="C37" s="24">
        <f>SUM(C34:C36)</f>
        <v>292.4674546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2.25" customHeight="1">
      <c r="A40" s="31" t="s">
        <v>40</v>
      </c>
      <c r="B40" s="2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41</v>
      </c>
      <c r="B42" s="21" t="s">
        <v>42</v>
      </c>
      <c r="C42" s="21" t="s">
        <v>43</v>
      </c>
      <c r="D42" s="21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15</v>
      </c>
      <c r="B43" s="23" t="s">
        <v>44</v>
      </c>
      <c r="C43" s="32">
        <v>0.2</v>
      </c>
      <c r="D43" s="24">
        <f>C43*C17</f>
        <v>235.076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17</v>
      </c>
      <c r="B44" s="23" t="s">
        <v>45</v>
      </c>
      <c r="C44" s="32">
        <v>0.025</v>
      </c>
      <c r="D44" s="24">
        <f>C44*C17</f>
        <v>29.3845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19</v>
      </c>
      <c r="B45" s="23" t="s">
        <v>46</v>
      </c>
      <c r="C45" s="33">
        <v>0.03</v>
      </c>
      <c r="D45" s="24">
        <f>C45*C17</f>
        <v>35.2614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21</v>
      </c>
      <c r="B46" s="23" t="s">
        <v>47</v>
      </c>
      <c r="C46" s="32">
        <v>0.015</v>
      </c>
      <c r="D46" s="24">
        <f>C46*C17</f>
        <v>17.6307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23</v>
      </c>
      <c r="B47" s="23" t="s">
        <v>48</v>
      </c>
      <c r="C47" s="32">
        <v>0.01</v>
      </c>
      <c r="D47" s="24">
        <f>C47*C17</f>
        <v>11.7538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25</v>
      </c>
      <c r="B48" s="23" t="s">
        <v>49</v>
      </c>
      <c r="C48" s="32">
        <v>0.006</v>
      </c>
      <c r="D48" s="24">
        <f>C48*C17</f>
        <v>7.05228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2">
        <v>0.002</v>
      </c>
      <c r="D49" s="24">
        <f>C49*C17</f>
        <v>2.35076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2" t="s">
        <v>52</v>
      </c>
      <c r="B50" s="23" t="s">
        <v>53</v>
      </c>
      <c r="C50" s="32">
        <v>0.08</v>
      </c>
      <c r="D50" s="24">
        <f>C50*C17</f>
        <v>94.0304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5" t="s">
        <v>54</v>
      </c>
      <c r="B51" s="26"/>
      <c r="C51" s="32">
        <f t="shared" ref="C51:D51" si="1">SUM(C43:C50)</f>
        <v>0.368</v>
      </c>
      <c r="D51" s="24">
        <f t="shared" si="1"/>
        <v>432.53984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122</v>
      </c>
      <c r="B52" s="34"/>
      <c r="C52" s="35"/>
      <c r="D52" s="3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123</v>
      </c>
      <c r="B53" s="34"/>
      <c r="C53" s="35"/>
      <c r="D53" s="3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9" t="s">
        <v>57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9" t="s">
        <v>58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 t="s">
        <v>59</v>
      </c>
      <c r="B58" s="21" t="s">
        <v>60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15</v>
      </c>
      <c r="B59" s="23" t="s">
        <v>61</v>
      </c>
      <c r="C59" s="24">
        <f>(2*3.5*26)-C17*0.06</f>
        <v>111.4772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17</v>
      </c>
      <c r="B60" s="23" t="s">
        <v>62</v>
      </c>
      <c r="C60" s="24">
        <f>13.1*0.8*21</f>
        <v>220.08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19</v>
      </c>
      <c r="B61" s="23" t="s">
        <v>63</v>
      </c>
      <c r="C61" s="24">
        <v>123.16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2" t="s">
        <v>21</v>
      </c>
      <c r="B62" s="23" t="s">
        <v>26</v>
      </c>
      <c r="C62" s="2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5" t="s">
        <v>27</v>
      </c>
      <c r="B63" s="26"/>
      <c r="C63" s="24">
        <f>SUM(C59:C62)</f>
        <v>454.7172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" t="s">
        <v>64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27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 t="s">
        <v>66</v>
      </c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0">
        <v>2.0</v>
      </c>
      <c r="B69" s="21" t="s">
        <v>67</v>
      </c>
      <c r="C69" s="21" t="s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34</v>
      </c>
      <c r="B70" s="23" t="s">
        <v>35</v>
      </c>
      <c r="C70" s="24">
        <f>C37</f>
        <v>292.4674546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41</v>
      </c>
      <c r="B71" s="23" t="s">
        <v>42</v>
      </c>
      <c r="C71" s="24">
        <f>D51</f>
        <v>432.53984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2" t="s">
        <v>59</v>
      </c>
      <c r="B72" s="23" t="s">
        <v>60</v>
      </c>
      <c r="C72" s="24">
        <f>C63</f>
        <v>454.7172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5" t="s">
        <v>27</v>
      </c>
      <c r="B73" s="26"/>
      <c r="C73" s="24">
        <f>SUM(C70:C72)</f>
        <v>1179.724495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 t="s">
        <v>68</v>
      </c>
      <c r="B76" s="2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0">
        <v>3.0</v>
      </c>
      <c r="B78" s="21" t="s">
        <v>69</v>
      </c>
      <c r="C78" s="21" t="s">
        <v>14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15</v>
      </c>
      <c r="B79" s="38" t="s">
        <v>70</v>
      </c>
      <c r="C79" s="24">
        <f>C17*0.46%</f>
        <v>5.406748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17</v>
      </c>
      <c r="B80" s="38" t="s">
        <v>71</v>
      </c>
      <c r="C80" s="24">
        <f>C17*0.04%</f>
        <v>0.470152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19</v>
      </c>
      <c r="B81" s="38" t="s">
        <v>72</v>
      </c>
      <c r="C81" s="24">
        <f>C17*2%</f>
        <v>23.5076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21</v>
      </c>
      <c r="B82" s="38" t="s">
        <v>73</v>
      </c>
      <c r="C82" s="24">
        <f>C17*1.94%</f>
        <v>22.802372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23</v>
      </c>
      <c r="B83" s="38" t="s">
        <v>74</v>
      </c>
      <c r="C83" s="24">
        <f>C17*0.71%</f>
        <v>8.345198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2" t="s">
        <v>25</v>
      </c>
      <c r="B84" s="38" t="s">
        <v>75</v>
      </c>
      <c r="C84" s="24">
        <f>C17*2%</f>
        <v>23.5076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5" t="s">
        <v>27</v>
      </c>
      <c r="B85" s="26"/>
      <c r="C85" s="24">
        <f>SUM(C79:C84)</f>
        <v>84.03967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 t="s">
        <v>76</v>
      </c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27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9" t="s">
        <v>78</v>
      </c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0" t="s">
        <v>79</v>
      </c>
      <c r="B93" s="21" t="s">
        <v>80</v>
      </c>
      <c r="C93" s="21" t="s">
        <v>14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15</v>
      </c>
      <c r="B94" s="23" t="s">
        <v>81</v>
      </c>
      <c r="C94" s="24">
        <f>9.075%*C17</f>
        <v>106.665735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17</v>
      </c>
      <c r="B95" s="23" t="s">
        <v>82</v>
      </c>
      <c r="C95" s="24">
        <f>0.28%*C17</f>
        <v>3.291064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19</v>
      </c>
      <c r="B96" s="23" t="s">
        <v>83</v>
      </c>
      <c r="C96" s="24">
        <f>0.04%*C17</f>
        <v>0.470152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21</v>
      </c>
      <c r="B97" s="23" t="s">
        <v>84</v>
      </c>
      <c r="C97" s="24">
        <f>0.27%*C17</f>
        <v>3.173526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23</v>
      </c>
      <c r="B98" s="23" t="s">
        <v>85</v>
      </c>
      <c r="C98" s="24">
        <f>0.0003*C17</f>
        <v>0.352614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86</v>
      </c>
      <c r="B99" s="23" t="s">
        <v>87</v>
      </c>
      <c r="C99" s="24">
        <f>C98*C51</f>
        <v>0.129761952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2" t="s">
        <v>25</v>
      </c>
      <c r="B100" s="23" t="s">
        <v>88</v>
      </c>
      <c r="C100" s="24">
        <f>1.66%*C17</f>
        <v>19.511308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0" t="s">
        <v>50</v>
      </c>
      <c r="B101" s="23" t="s">
        <v>89</v>
      </c>
      <c r="C101" s="24">
        <f>C51*(SUM(C94:C100))</f>
        <v>49.16265123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5" t="s">
        <v>54</v>
      </c>
      <c r="B102" s="26"/>
      <c r="C102" s="24">
        <f>SUM(C94:C101)</f>
        <v>182.7568122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9" t="s">
        <v>90</v>
      </c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0" t="s">
        <v>91</v>
      </c>
      <c r="B107" s="21" t="s">
        <v>92</v>
      </c>
      <c r="C107" s="21" t="s">
        <v>14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2" t="s">
        <v>15</v>
      </c>
      <c r="B108" s="23" t="s">
        <v>93</v>
      </c>
      <c r="C108" s="42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5" t="s">
        <v>27</v>
      </c>
      <c r="B109" s="26"/>
      <c r="C109" s="42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9" t="s">
        <v>94</v>
      </c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0">
        <v>4.0</v>
      </c>
      <c r="B114" s="21" t="s">
        <v>95</v>
      </c>
      <c r="C114" s="21" t="s">
        <v>14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79</v>
      </c>
      <c r="B115" s="23" t="s">
        <v>96</v>
      </c>
      <c r="C115" s="24">
        <f>C102</f>
        <v>182.7568122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2" t="s">
        <v>91</v>
      </c>
      <c r="B116" s="23" t="s">
        <v>97</v>
      </c>
      <c r="C116" s="42">
        <f>C109</f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5" t="s">
        <v>27</v>
      </c>
      <c r="B117" s="26"/>
      <c r="C117" s="24">
        <f>SUM(C115:C116)</f>
        <v>182.7568122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 t="s">
        <v>98</v>
      </c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0">
        <v>5.0</v>
      </c>
      <c r="B122" s="39" t="s">
        <v>99</v>
      </c>
      <c r="C122" s="21" t="s">
        <v>14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15</v>
      </c>
      <c r="B123" s="23" t="s">
        <v>100</v>
      </c>
      <c r="C123" s="40">
        <f>'Equipamentos, Uniformes e EPIs'!E24/12</f>
        <v>45.12333333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17</v>
      </c>
      <c r="B124" s="23" t="s">
        <v>101</v>
      </c>
      <c r="C124" s="4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19</v>
      </c>
      <c r="B125" s="23" t="s">
        <v>102</v>
      </c>
      <c r="C125" s="4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21</v>
      </c>
      <c r="B126" s="23" t="s">
        <v>26</v>
      </c>
      <c r="C126" s="4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5" t="s">
        <v>54</v>
      </c>
      <c r="B127" s="26"/>
      <c r="C127" s="40">
        <f>SUM(C123:C126)</f>
        <v>45.12333333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9" t="s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 t="s">
        <v>104</v>
      </c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0">
        <v>6.0</v>
      </c>
      <c r="B132" s="39" t="s">
        <v>105</v>
      </c>
      <c r="C132" s="21" t="s">
        <v>43</v>
      </c>
      <c r="D132" s="21" t="s">
        <v>14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15</v>
      </c>
      <c r="B133" s="23" t="s">
        <v>106</v>
      </c>
      <c r="C133" s="43">
        <v>0.04</v>
      </c>
      <c r="D133" s="24">
        <f>C151*C133</f>
        <v>106.6809724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17</v>
      </c>
      <c r="B134" s="23" t="s">
        <v>107</v>
      </c>
      <c r="C134" s="43">
        <v>0.08</v>
      </c>
      <c r="D134" s="24">
        <f>(C151+D133)*C134</f>
        <v>221.8964226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 t="s">
        <v>19</v>
      </c>
      <c r="B135" s="23" t="s">
        <v>108</v>
      </c>
      <c r="C135" s="44"/>
      <c r="D135" s="4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109</v>
      </c>
      <c r="C136" s="45">
        <v>0.0165</v>
      </c>
      <c r="D136" s="46">
        <f>((C151)/1-(C136+C137+C138))*C136</f>
        <v>44.00354987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110</v>
      </c>
      <c r="C137" s="47">
        <v>0.076</v>
      </c>
      <c r="D137" s="48">
        <f>((C151)/1-(C139))*C137</f>
        <v>202.6830176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2"/>
      <c r="B138" s="23" t="s">
        <v>111</v>
      </c>
      <c r="C138" s="49">
        <v>0.05</v>
      </c>
      <c r="D138" s="48">
        <f>((C151)/1-(C139))*C138</f>
        <v>133.3440905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5" t="s">
        <v>54</v>
      </c>
      <c r="B139" s="26"/>
      <c r="C139" s="50">
        <f>SUM(C136:C138)</f>
        <v>0.1425</v>
      </c>
      <c r="D139" s="51">
        <f>SUM(D133:D138)</f>
        <v>708.608053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125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9" t="s">
        <v>126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 t="s">
        <v>114</v>
      </c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0"/>
      <c r="B145" s="21" t="s">
        <v>115</v>
      </c>
      <c r="C145" s="21" t="s">
        <v>14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3" t="s">
        <v>15</v>
      </c>
      <c r="B146" s="23" t="s">
        <v>12</v>
      </c>
      <c r="C146" s="54">
        <f>C23</f>
        <v>1175.38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3" t="s">
        <v>17</v>
      </c>
      <c r="B147" s="23" t="s">
        <v>29</v>
      </c>
      <c r="C147" s="54">
        <f>C73</f>
        <v>1179.724495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3" t="s">
        <v>19</v>
      </c>
      <c r="B148" s="23" t="s">
        <v>68</v>
      </c>
      <c r="C148" s="54">
        <f>C85</f>
        <v>84.03967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3" t="s">
        <v>21</v>
      </c>
      <c r="B149" s="23" t="s">
        <v>76</v>
      </c>
      <c r="C149" s="54">
        <f>C117</f>
        <v>182.7568122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3" t="s">
        <v>23</v>
      </c>
      <c r="B150" s="23" t="s">
        <v>98</v>
      </c>
      <c r="C150" s="55">
        <f>C127</f>
        <v>45.12333333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5" t="s">
        <v>116</v>
      </c>
      <c r="B151" s="26"/>
      <c r="C151" s="54">
        <f>SUM(C146:C150)</f>
        <v>2667.02431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3" t="s">
        <v>25</v>
      </c>
      <c r="B152" s="23" t="s">
        <v>117</v>
      </c>
      <c r="C152" s="55">
        <f>D139</f>
        <v>708.608053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5" t="s">
        <v>118</v>
      </c>
      <c r="B153" s="26"/>
      <c r="C153" s="54">
        <f>SUM(C151:C152)</f>
        <v>3375.632363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117:B117"/>
    <mergeCell ref="A120:C120"/>
    <mergeCell ref="A127:B127"/>
    <mergeCell ref="A130:C130"/>
    <mergeCell ref="A139:B139"/>
    <mergeCell ref="A143:C143"/>
    <mergeCell ref="A151:B151"/>
    <mergeCell ref="A153:B153"/>
    <mergeCell ref="A88:C88"/>
    <mergeCell ref="A89:D89"/>
    <mergeCell ref="A91:C91"/>
    <mergeCell ref="A102:B102"/>
    <mergeCell ref="A105:C105"/>
    <mergeCell ref="A109:B109"/>
    <mergeCell ref="A112:C112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63.13"/>
    <col customWidth="1" min="3" max="3" width="17.13"/>
    <col customWidth="1" min="4" max="4" width="12.5"/>
    <col customWidth="1" min="5" max="5" width="11.13"/>
    <col customWidth="1" min="6" max="6" width="10.5"/>
    <col customWidth="1" min="7" max="26" width="8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127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56">
        <v>1117.8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128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57">
        <v>1117.8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1117.8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93.11274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C17*12.1%</f>
        <v>135.2538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38</v>
      </c>
      <c r="B36" s="23" t="s">
        <v>39</v>
      </c>
      <c r="C36" s="24">
        <f>C35*C51</f>
        <v>49.7733984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5" t="s">
        <v>27</v>
      </c>
      <c r="B37" s="26"/>
      <c r="C37" s="24">
        <f>SUM(C34:C36)</f>
        <v>278.1399384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2.25" customHeight="1">
      <c r="A40" s="31" t="s">
        <v>40</v>
      </c>
      <c r="B40" s="2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41</v>
      </c>
      <c r="B42" s="21" t="s">
        <v>42</v>
      </c>
      <c r="C42" s="21" t="s">
        <v>43</v>
      </c>
      <c r="D42" s="21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15</v>
      </c>
      <c r="B43" s="23" t="s">
        <v>44</v>
      </c>
      <c r="C43" s="32">
        <v>0.2</v>
      </c>
      <c r="D43" s="24">
        <f>C43*C17</f>
        <v>223.56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17</v>
      </c>
      <c r="B44" s="23" t="s">
        <v>45</v>
      </c>
      <c r="C44" s="32">
        <v>0.025</v>
      </c>
      <c r="D44" s="24">
        <f>C44*C17</f>
        <v>27.945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19</v>
      </c>
      <c r="B45" s="23" t="s">
        <v>46</v>
      </c>
      <c r="C45" s="33">
        <v>0.03</v>
      </c>
      <c r="D45" s="24">
        <f>C45*C17</f>
        <v>33.534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21</v>
      </c>
      <c r="B46" s="23" t="s">
        <v>47</v>
      </c>
      <c r="C46" s="32">
        <v>0.015</v>
      </c>
      <c r="D46" s="24">
        <f>C46*C17</f>
        <v>16.767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23</v>
      </c>
      <c r="B47" s="23" t="s">
        <v>48</v>
      </c>
      <c r="C47" s="32">
        <v>0.01</v>
      </c>
      <c r="D47" s="24">
        <f>C47*C17</f>
        <v>11.178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25</v>
      </c>
      <c r="B48" s="23" t="s">
        <v>49</v>
      </c>
      <c r="C48" s="32">
        <v>0.006</v>
      </c>
      <c r="D48" s="24">
        <f>C48*C17</f>
        <v>6.7068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2">
        <v>0.002</v>
      </c>
      <c r="D49" s="24">
        <f>C49*C17</f>
        <v>2.2356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2" t="s">
        <v>52</v>
      </c>
      <c r="B50" s="23" t="s">
        <v>53</v>
      </c>
      <c r="C50" s="32">
        <v>0.08</v>
      </c>
      <c r="D50" s="24">
        <f>C50*C17</f>
        <v>89.424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5" t="s">
        <v>54</v>
      </c>
      <c r="B51" s="26"/>
      <c r="C51" s="32">
        <f t="shared" ref="C51:D51" si="1">SUM(C43:C50)</f>
        <v>0.368</v>
      </c>
      <c r="D51" s="24">
        <f t="shared" si="1"/>
        <v>411.3504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130</v>
      </c>
      <c r="B52" s="34"/>
      <c r="C52" s="35"/>
      <c r="D52" s="3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131</v>
      </c>
      <c r="B53" s="34"/>
      <c r="C53" s="35"/>
      <c r="D53" s="3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9" t="s">
        <v>57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9" t="s">
        <v>58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 t="s">
        <v>59</v>
      </c>
      <c r="B58" s="21" t="s">
        <v>60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15</v>
      </c>
      <c r="B59" s="23" t="s">
        <v>61</v>
      </c>
      <c r="C59" s="24">
        <f>(2*3.5*26)-C17*0.06</f>
        <v>114.932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17</v>
      </c>
      <c r="B60" s="23" t="s">
        <v>62</v>
      </c>
      <c r="C60" s="24">
        <f>13.1*0.8*21</f>
        <v>220.08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19</v>
      </c>
      <c r="B61" s="23" t="s">
        <v>63</v>
      </c>
      <c r="C61" s="24">
        <v>123.16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2" t="s">
        <v>21</v>
      </c>
      <c r="B62" s="23" t="s">
        <v>26</v>
      </c>
      <c r="C62" s="2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5" t="s">
        <v>27</v>
      </c>
      <c r="B63" s="26"/>
      <c r="C63" s="24">
        <f>SUM(C59:C62)</f>
        <v>458.172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" t="s">
        <v>64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27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 t="s">
        <v>66</v>
      </c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0">
        <v>2.0</v>
      </c>
      <c r="B69" s="21" t="s">
        <v>67</v>
      </c>
      <c r="C69" s="21" t="s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34</v>
      </c>
      <c r="B70" s="23" t="s">
        <v>35</v>
      </c>
      <c r="C70" s="24">
        <f>C37</f>
        <v>278.1399384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41</v>
      </c>
      <c r="B71" s="23" t="s">
        <v>42</v>
      </c>
      <c r="C71" s="24">
        <f>D51</f>
        <v>411.3504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2" t="s">
        <v>59</v>
      </c>
      <c r="B72" s="23" t="s">
        <v>60</v>
      </c>
      <c r="C72" s="24">
        <f>C63</f>
        <v>458.172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5" t="s">
        <v>27</v>
      </c>
      <c r="B73" s="26"/>
      <c r="C73" s="24">
        <f>SUM(C70:C72)</f>
        <v>1147.662338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 t="s">
        <v>68</v>
      </c>
      <c r="B76" s="2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0">
        <v>3.0</v>
      </c>
      <c r="B78" s="21" t="s">
        <v>69</v>
      </c>
      <c r="C78" s="21" t="s">
        <v>14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15</v>
      </c>
      <c r="B79" s="38" t="s">
        <v>70</v>
      </c>
      <c r="C79" s="24">
        <f>C17*0.46%</f>
        <v>5.14188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17</v>
      </c>
      <c r="B80" s="38" t="s">
        <v>71</v>
      </c>
      <c r="C80" s="24">
        <f>C17*0.04%</f>
        <v>0.44712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19</v>
      </c>
      <c r="B81" s="38" t="s">
        <v>72</v>
      </c>
      <c r="C81" s="24">
        <f>C17*2%</f>
        <v>22.356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21</v>
      </c>
      <c r="B82" s="38" t="s">
        <v>73</v>
      </c>
      <c r="C82" s="24">
        <f>C17*1.94%</f>
        <v>21.68532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23</v>
      </c>
      <c r="B83" s="38" t="s">
        <v>74</v>
      </c>
      <c r="C83" s="24">
        <f>C17*0.71%</f>
        <v>7.93638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2" t="s">
        <v>25</v>
      </c>
      <c r="B84" s="38" t="s">
        <v>75</v>
      </c>
      <c r="C84" s="24">
        <f>C17*2%</f>
        <v>22.356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5" t="s">
        <v>27</v>
      </c>
      <c r="B85" s="26"/>
      <c r="C85" s="24">
        <f>SUM(C79:C84)</f>
        <v>79.9227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 t="s">
        <v>76</v>
      </c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27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9" t="s">
        <v>78</v>
      </c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0" t="s">
        <v>79</v>
      </c>
      <c r="B93" s="21" t="s">
        <v>80</v>
      </c>
      <c r="C93" s="21" t="s">
        <v>14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15</v>
      </c>
      <c r="B94" s="23" t="s">
        <v>81</v>
      </c>
      <c r="C94" s="24">
        <f>9.075%*C17</f>
        <v>101.44035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17</v>
      </c>
      <c r="B95" s="23" t="s">
        <v>82</v>
      </c>
      <c r="C95" s="24">
        <f>0.28%*C17</f>
        <v>3.12984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19</v>
      </c>
      <c r="B96" s="23" t="s">
        <v>83</v>
      </c>
      <c r="C96" s="24">
        <f>0.04%*C17</f>
        <v>0.44712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21</v>
      </c>
      <c r="B97" s="23" t="s">
        <v>84</v>
      </c>
      <c r="C97" s="24">
        <f>0.27%*C17</f>
        <v>3.01806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23</v>
      </c>
      <c r="B98" s="23" t="s">
        <v>85</v>
      </c>
      <c r="C98" s="24">
        <f>0.0003*C17</f>
        <v>0.33534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86</v>
      </c>
      <c r="B99" s="23" t="s">
        <v>87</v>
      </c>
      <c r="C99" s="24">
        <f>C98*C51</f>
        <v>0.12340512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2" t="s">
        <v>25</v>
      </c>
      <c r="B100" s="23" t="s">
        <v>88</v>
      </c>
      <c r="C100" s="24">
        <f>1.66%*C17</f>
        <v>18.55548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0" t="s">
        <v>50</v>
      </c>
      <c r="B101" s="23" t="s">
        <v>89</v>
      </c>
      <c r="C101" s="24">
        <f>C51*(SUM(C94:C100))</f>
        <v>46.754251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5" t="s">
        <v>54</v>
      </c>
      <c r="B102" s="26"/>
      <c r="C102" s="24">
        <f>SUM(C94:C101)</f>
        <v>173.8038461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9" t="s">
        <v>90</v>
      </c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0" t="s">
        <v>91</v>
      </c>
      <c r="B107" s="21" t="s">
        <v>92</v>
      </c>
      <c r="C107" s="21" t="s">
        <v>14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2" t="s">
        <v>15</v>
      </c>
      <c r="B108" s="23" t="s">
        <v>93</v>
      </c>
      <c r="C108" s="36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5" t="s">
        <v>27</v>
      </c>
      <c r="B109" s="26"/>
      <c r="C109" s="36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9" t="s">
        <v>94</v>
      </c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0">
        <v>4.0</v>
      </c>
      <c r="B114" s="21" t="s">
        <v>95</v>
      </c>
      <c r="C114" s="21" t="s">
        <v>14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79</v>
      </c>
      <c r="B115" s="23" t="s">
        <v>96</v>
      </c>
      <c r="C115" s="24">
        <f>C102</f>
        <v>173.8038461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2" t="s">
        <v>91</v>
      </c>
      <c r="B116" s="23" t="s">
        <v>97</v>
      </c>
      <c r="C116" s="36">
        <f>C109</f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5" t="s">
        <v>27</v>
      </c>
      <c r="B117" s="26"/>
      <c r="C117" s="24">
        <f>SUM(C115:C116)</f>
        <v>173.8038461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 t="s">
        <v>98</v>
      </c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0">
        <v>5.0</v>
      </c>
      <c r="B122" s="39" t="s">
        <v>99</v>
      </c>
      <c r="C122" s="58" t="s">
        <v>14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15</v>
      </c>
      <c r="B123" s="23" t="s">
        <v>100</v>
      </c>
      <c r="C123" s="36">
        <f>Encarregado!C150</f>
        <v>45.12333333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17</v>
      </c>
      <c r="B124" s="23" t="s">
        <v>101</v>
      </c>
      <c r="C124" s="36" t="str">
        <f>('Equipamentos, Uniformes e EPIs'!H9)</f>
        <v/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19</v>
      </c>
      <c r="B125" s="23" t="s">
        <v>102</v>
      </c>
      <c r="C125" s="36">
        <f>('Equipamentos, Uniformes e EPIs'!G9+'Equipamentos, Uniformes e EPIs'!G8+'Equipamentos, Uniformes e EPIs'!G7+'Equipamentos, Uniformes e EPIs'!G6)/12</f>
        <v>1.308875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21</v>
      </c>
      <c r="B126" s="23" t="s">
        <v>26</v>
      </c>
      <c r="C126" s="3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5" t="s">
        <v>54</v>
      </c>
      <c r="B127" s="26"/>
      <c r="C127" s="36">
        <f>SUM(C123:C126)</f>
        <v>46.43220833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9" t="s">
        <v>132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 t="s">
        <v>104</v>
      </c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0">
        <v>6.0</v>
      </c>
      <c r="B132" s="39" t="s">
        <v>105</v>
      </c>
      <c r="C132" s="21" t="s">
        <v>43</v>
      </c>
      <c r="D132" s="21" t="s">
        <v>14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15</v>
      </c>
      <c r="B133" s="23" t="s">
        <v>106</v>
      </c>
      <c r="C133" s="43">
        <v>0.04</v>
      </c>
      <c r="D133" s="24">
        <f>C151*C133</f>
        <v>102.6248437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17</v>
      </c>
      <c r="B134" s="23" t="s">
        <v>107</v>
      </c>
      <c r="C134" s="43">
        <v>0.08</v>
      </c>
      <c r="D134" s="24">
        <f>(C151+D133)*C134</f>
        <v>213.4596749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 t="s">
        <v>19</v>
      </c>
      <c r="B135" s="23" t="s">
        <v>108</v>
      </c>
      <c r="C135" s="44"/>
      <c r="D135" s="4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109</v>
      </c>
      <c r="C136" s="45">
        <v>0.0165</v>
      </c>
      <c r="D136" s="46">
        <f>((C151)/1-(C136+C137+C138))*C136</f>
        <v>42.33039678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110</v>
      </c>
      <c r="C137" s="47">
        <v>0.076</v>
      </c>
      <c r="D137" s="48">
        <f>((C151)/1-(C139))*C137</f>
        <v>194.9763731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2"/>
      <c r="B138" s="23" t="s">
        <v>111</v>
      </c>
      <c r="C138" s="49">
        <v>0.05</v>
      </c>
      <c r="D138" s="48">
        <f>((C151)/1-(C139))*C138</f>
        <v>128.2739296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5" t="s">
        <v>54</v>
      </c>
      <c r="B139" s="26"/>
      <c r="C139" s="50">
        <f>SUM(C136:C138)</f>
        <v>0.1425</v>
      </c>
      <c r="D139" s="51">
        <f>SUM(D133:D138)</f>
        <v>681.6652181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133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9" t="s">
        <v>134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 t="s">
        <v>114</v>
      </c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0"/>
      <c r="B145" s="21" t="s">
        <v>115</v>
      </c>
      <c r="C145" s="21" t="s">
        <v>14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3" t="s">
        <v>15</v>
      </c>
      <c r="B146" s="23" t="s">
        <v>12</v>
      </c>
      <c r="C146" s="54">
        <f>C23</f>
        <v>1117.8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3" t="s">
        <v>17</v>
      </c>
      <c r="B147" s="23" t="s">
        <v>29</v>
      </c>
      <c r="C147" s="54">
        <f>C73</f>
        <v>1147.662338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3" t="s">
        <v>19</v>
      </c>
      <c r="B148" s="23" t="s">
        <v>68</v>
      </c>
      <c r="C148" s="54">
        <f>C85</f>
        <v>79.9227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3" t="s">
        <v>21</v>
      </c>
      <c r="B149" s="23" t="s">
        <v>76</v>
      </c>
      <c r="C149" s="54">
        <f>C117</f>
        <v>173.8038461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3" t="s">
        <v>23</v>
      </c>
      <c r="B150" s="23" t="s">
        <v>98</v>
      </c>
      <c r="C150" s="59">
        <f>C127</f>
        <v>46.43220833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5" t="s">
        <v>116</v>
      </c>
      <c r="B151" s="26"/>
      <c r="C151" s="54">
        <f>SUM(C146:C150)</f>
        <v>2565.621093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3" t="s">
        <v>25</v>
      </c>
      <c r="B152" s="23" t="s">
        <v>117</v>
      </c>
      <c r="C152" s="59">
        <f>D139</f>
        <v>681.6652181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5" t="s">
        <v>118</v>
      </c>
      <c r="B153" s="26"/>
      <c r="C153" s="54">
        <f>SUM(C151:C152)</f>
        <v>3247.286311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117:B117"/>
    <mergeCell ref="A120:C120"/>
    <mergeCell ref="A127:B127"/>
    <mergeCell ref="A130:C130"/>
    <mergeCell ref="A139:B139"/>
    <mergeCell ref="A143:C143"/>
    <mergeCell ref="A151:B151"/>
    <mergeCell ref="A153:B153"/>
    <mergeCell ref="A88:C88"/>
    <mergeCell ref="A89:D89"/>
    <mergeCell ref="A91:C91"/>
    <mergeCell ref="A102:B102"/>
    <mergeCell ref="A105:C105"/>
    <mergeCell ref="A109:B109"/>
    <mergeCell ref="A112:C112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63.13"/>
    <col customWidth="1" min="3" max="3" width="23.38"/>
    <col customWidth="1" min="4" max="4" width="12.5"/>
    <col customWidth="1" min="5" max="5" width="11.13"/>
    <col customWidth="1" min="6" max="6" width="10.5"/>
    <col customWidth="1" min="7" max="26" width="8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135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56">
        <v>1100.0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136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v>1100.0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1100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91.63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C17*12.1%</f>
        <v>133.1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38</v>
      </c>
      <c r="B36" s="23" t="s">
        <v>39</v>
      </c>
      <c r="C36" s="24">
        <f>C35*C51</f>
        <v>48.9808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5" t="s">
        <v>27</v>
      </c>
      <c r="B37" s="26"/>
      <c r="C37" s="24">
        <f>SUM(C34:C36)</f>
        <v>273.7108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2.25" customHeight="1">
      <c r="A40" s="31" t="s">
        <v>40</v>
      </c>
      <c r="B40" s="2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41</v>
      </c>
      <c r="B42" s="21" t="s">
        <v>42</v>
      </c>
      <c r="C42" s="21" t="s">
        <v>43</v>
      </c>
      <c r="D42" s="21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15</v>
      </c>
      <c r="B43" s="23" t="s">
        <v>44</v>
      </c>
      <c r="C43" s="32">
        <v>0.2</v>
      </c>
      <c r="D43" s="24">
        <f>C43*C17</f>
        <v>220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17</v>
      </c>
      <c r="B44" s="23" t="s">
        <v>45</v>
      </c>
      <c r="C44" s="32">
        <v>0.025</v>
      </c>
      <c r="D44" s="24">
        <f>C44*C17</f>
        <v>27.5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19</v>
      </c>
      <c r="B45" s="23" t="s">
        <v>46</v>
      </c>
      <c r="C45" s="33">
        <v>0.03</v>
      </c>
      <c r="D45" s="24">
        <f>C45*C17</f>
        <v>33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21</v>
      </c>
      <c r="B46" s="23" t="s">
        <v>47</v>
      </c>
      <c r="C46" s="32">
        <v>0.015</v>
      </c>
      <c r="D46" s="24">
        <f>C46*C17</f>
        <v>16.5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23</v>
      </c>
      <c r="B47" s="23" t="s">
        <v>48</v>
      </c>
      <c r="C47" s="32">
        <v>0.01</v>
      </c>
      <c r="D47" s="24">
        <f>C47*C17</f>
        <v>11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25</v>
      </c>
      <c r="B48" s="23" t="s">
        <v>49</v>
      </c>
      <c r="C48" s="32">
        <v>0.006</v>
      </c>
      <c r="D48" s="24">
        <f>C48*C17</f>
        <v>6.6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2">
        <v>0.002</v>
      </c>
      <c r="D49" s="24">
        <f>C49*C17</f>
        <v>2.2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2" t="s">
        <v>52</v>
      </c>
      <c r="B50" s="23" t="s">
        <v>53</v>
      </c>
      <c r="C50" s="32">
        <v>0.08</v>
      </c>
      <c r="D50" s="24">
        <f>C50*C17</f>
        <v>88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5" t="s">
        <v>54</v>
      </c>
      <c r="B51" s="26"/>
      <c r="C51" s="32">
        <f t="shared" ref="C51:D51" si="1">SUM(C43:C50)</f>
        <v>0.368</v>
      </c>
      <c r="D51" s="24">
        <f t="shared" si="1"/>
        <v>404.8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138</v>
      </c>
      <c r="B52" s="34"/>
      <c r="C52" s="35"/>
      <c r="D52" s="3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139</v>
      </c>
      <c r="B53" s="34"/>
      <c r="C53" s="35"/>
      <c r="D53" s="3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9" t="s">
        <v>57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9" t="s">
        <v>58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 t="s">
        <v>59</v>
      </c>
      <c r="B58" s="21" t="s">
        <v>60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15</v>
      </c>
      <c r="B59" s="23" t="s">
        <v>61</v>
      </c>
      <c r="C59" s="24">
        <f>(2*3.5*26)-C17*0.06</f>
        <v>116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17</v>
      </c>
      <c r="B60" s="23" t="s">
        <v>62</v>
      </c>
      <c r="C60" s="24">
        <f>13.1*0.8*21</f>
        <v>220.08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19</v>
      </c>
      <c r="B61" s="23" t="s">
        <v>63</v>
      </c>
      <c r="C61" s="24">
        <v>123.16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2" t="s">
        <v>21</v>
      </c>
      <c r="B62" s="23" t="s">
        <v>26</v>
      </c>
      <c r="C62" s="2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5" t="s">
        <v>27</v>
      </c>
      <c r="B63" s="26"/>
      <c r="C63" s="24">
        <f>SUM(C59:C62)</f>
        <v>459.24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" t="s">
        <v>64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27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 t="s">
        <v>66</v>
      </c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0">
        <v>2.0</v>
      </c>
      <c r="B69" s="21" t="s">
        <v>67</v>
      </c>
      <c r="C69" s="21" t="s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34</v>
      </c>
      <c r="B70" s="23" t="s">
        <v>35</v>
      </c>
      <c r="C70" s="24">
        <f>C37</f>
        <v>273.7108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41</v>
      </c>
      <c r="B71" s="23" t="s">
        <v>42</v>
      </c>
      <c r="C71" s="24">
        <f>D51</f>
        <v>404.8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2" t="s">
        <v>59</v>
      </c>
      <c r="B72" s="23" t="s">
        <v>60</v>
      </c>
      <c r="C72" s="24">
        <f>C63</f>
        <v>459.24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5" t="s">
        <v>27</v>
      </c>
      <c r="B73" s="26"/>
      <c r="C73" s="24">
        <f>SUM(C70:C72)</f>
        <v>1137.7508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 t="s">
        <v>68</v>
      </c>
      <c r="B76" s="2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0">
        <v>3.0</v>
      </c>
      <c r="B78" s="21" t="s">
        <v>69</v>
      </c>
      <c r="C78" s="21" t="s">
        <v>14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15</v>
      </c>
      <c r="B79" s="38" t="s">
        <v>70</v>
      </c>
      <c r="C79" s="24">
        <f>C17*0.46%</f>
        <v>5.06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17</v>
      </c>
      <c r="B80" s="38" t="s">
        <v>71</v>
      </c>
      <c r="C80" s="24">
        <f>C17*0.04%</f>
        <v>0.44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19</v>
      </c>
      <c r="B81" s="38" t="s">
        <v>72</v>
      </c>
      <c r="C81" s="24">
        <f>C17*2%</f>
        <v>22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21</v>
      </c>
      <c r="B82" s="38" t="s">
        <v>73</v>
      </c>
      <c r="C82" s="24">
        <f>C17*1.94%</f>
        <v>21.34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23</v>
      </c>
      <c r="B83" s="38" t="s">
        <v>74</v>
      </c>
      <c r="C83" s="24">
        <f>C17*0.71%</f>
        <v>7.81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2" t="s">
        <v>25</v>
      </c>
      <c r="B84" s="38" t="s">
        <v>75</v>
      </c>
      <c r="C84" s="24">
        <f>C17*2%</f>
        <v>22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5" t="s">
        <v>27</v>
      </c>
      <c r="B85" s="26"/>
      <c r="C85" s="24">
        <f>SUM(C79:C84)</f>
        <v>78.65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 t="s">
        <v>76</v>
      </c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27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9" t="s">
        <v>78</v>
      </c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0" t="s">
        <v>79</v>
      </c>
      <c r="B93" s="21" t="s">
        <v>80</v>
      </c>
      <c r="C93" s="21" t="s">
        <v>14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15</v>
      </c>
      <c r="B94" s="23" t="s">
        <v>81</v>
      </c>
      <c r="C94" s="24">
        <f>9.075%*C17</f>
        <v>99.825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17</v>
      </c>
      <c r="B95" s="23" t="s">
        <v>82</v>
      </c>
      <c r="C95" s="24">
        <f>0.28%*C17</f>
        <v>3.08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19</v>
      </c>
      <c r="B96" s="23" t="s">
        <v>83</v>
      </c>
      <c r="C96" s="24">
        <f>0.04%*C17</f>
        <v>0.44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21</v>
      </c>
      <c r="B97" s="23" t="s">
        <v>84</v>
      </c>
      <c r="C97" s="24">
        <f>0.27%*C17</f>
        <v>2.97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23</v>
      </c>
      <c r="B98" s="23" t="s">
        <v>85</v>
      </c>
      <c r="C98" s="24">
        <f>0.0003*C17</f>
        <v>0.33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86</v>
      </c>
      <c r="B99" s="23" t="s">
        <v>87</v>
      </c>
      <c r="C99" s="24">
        <f>C98*C51</f>
        <v>0.12144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2" t="s">
        <v>25</v>
      </c>
      <c r="B100" s="23" t="s">
        <v>88</v>
      </c>
      <c r="C100" s="24">
        <f>1.66%*C17</f>
        <v>18.26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0" t="s">
        <v>50</v>
      </c>
      <c r="B101" s="23" t="s">
        <v>89</v>
      </c>
      <c r="C101" s="24">
        <f>C51*(SUM(C94:C100))</f>
        <v>46.00972992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5" t="s">
        <v>54</v>
      </c>
      <c r="B102" s="26"/>
      <c r="C102" s="24">
        <f>SUM(C94:C101)</f>
        <v>171.0361699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9" t="s">
        <v>90</v>
      </c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0" t="s">
        <v>91</v>
      </c>
      <c r="B107" s="21" t="s">
        <v>92</v>
      </c>
      <c r="C107" s="21" t="s">
        <v>14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2" t="s">
        <v>15</v>
      </c>
      <c r="B108" s="23" t="s">
        <v>93</v>
      </c>
      <c r="C108" s="36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5" t="s">
        <v>27</v>
      </c>
      <c r="B109" s="26"/>
      <c r="C109" s="36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9" t="s">
        <v>94</v>
      </c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0">
        <v>4.0</v>
      </c>
      <c r="B114" s="21" t="s">
        <v>95</v>
      </c>
      <c r="C114" s="21" t="s">
        <v>14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79</v>
      </c>
      <c r="B115" s="23" t="s">
        <v>96</v>
      </c>
      <c r="C115" s="24">
        <f>C102</f>
        <v>171.0361699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2" t="s">
        <v>91</v>
      </c>
      <c r="B116" s="23" t="s">
        <v>97</v>
      </c>
      <c r="C116" s="36">
        <f>C109</f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5" t="s">
        <v>27</v>
      </c>
      <c r="B117" s="26"/>
      <c r="C117" s="24">
        <f>SUM(C115:C116)</f>
        <v>171.0361699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 t="s">
        <v>98</v>
      </c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0">
        <v>5.0</v>
      </c>
      <c r="B122" s="39" t="s">
        <v>99</v>
      </c>
      <c r="C122" s="21" t="s">
        <v>14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15</v>
      </c>
      <c r="B123" s="23" t="s">
        <v>100</v>
      </c>
      <c r="C123" s="36">
        <f>'Equipamentos, Uniformes e EPIs'!E24/12</f>
        <v>45.12333333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17</v>
      </c>
      <c r="B124" s="23" t="s">
        <v>101</v>
      </c>
      <c r="C124" s="3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19</v>
      </c>
      <c r="B125" s="23" t="s">
        <v>102</v>
      </c>
      <c r="C125" s="36">
        <f>'Equipamentos, Uniformes e EPIs'!G10/12</f>
        <v>5.492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21</v>
      </c>
      <c r="B126" s="23" t="s">
        <v>26</v>
      </c>
      <c r="C126" s="3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5" t="s">
        <v>54</v>
      </c>
      <c r="B127" s="26"/>
      <c r="C127" s="36">
        <f>SUM(C123:C126)</f>
        <v>50.61533333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9" t="s">
        <v>140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 t="s">
        <v>104</v>
      </c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0">
        <v>6.0</v>
      </c>
      <c r="B132" s="39" t="s">
        <v>105</v>
      </c>
      <c r="C132" s="21" t="s">
        <v>43</v>
      </c>
      <c r="D132" s="21" t="s">
        <v>14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15</v>
      </c>
      <c r="B133" s="23" t="s">
        <v>106</v>
      </c>
      <c r="C133" s="43">
        <v>0.04</v>
      </c>
      <c r="D133" s="24">
        <f>C151*C133</f>
        <v>101.5220921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17</v>
      </c>
      <c r="B134" s="23" t="s">
        <v>107</v>
      </c>
      <c r="C134" s="43">
        <v>0.08</v>
      </c>
      <c r="D134" s="24">
        <f>(C151+D133)*C134</f>
        <v>211.1659516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 t="s">
        <v>19</v>
      </c>
      <c r="B135" s="23" t="s">
        <v>108</v>
      </c>
      <c r="C135" s="44"/>
      <c r="D135" s="4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109</v>
      </c>
      <c r="C136" s="45">
        <v>0.0165</v>
      </c>
      <c r="D136" s="46">
        <f>((C151)/1-(C136+C137+C138))*C136</f>
        <v>41.87551175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110</v>
      </c>
      <c r="C137" s="47">
        <v>0.076</v>
      </c>
      <c r="D137" s="48">
        <f>((C151)/1-(C139))*C137</f>
        <v>192.881145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2"/>
      <c r="B138" s="23" t="s">
        <v>111</v>
      </c>
      <c r="C138" s="49">
        <v>0.05</v>
      </c>
      <c r="D138" s="48">
        <f>((C151)/1-(C139))*C138</f>
        <v>126.8954902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5" t="s">
        <v>54</v>
      </c>
      <c r="B139" s="26"/>
      <c r="C139" s="50">
        <f>SUM(C136:C138)</f>
        <v>0.1425</v>
      </c>
      <c r="D139" s="51">
        <f>SUM(D133:D138)</f>
        <v>674.3401907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141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9" t="s">
        <v>142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 t="s">
        <v>114</v>
      </c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0"/>
      <c r="B145" s="21" t="s">
        <v>115</v>
      </c>
      <c r="C145" s="21" t="s">
        <v>14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3" t="s">
        <v>15</v>
      </c>
      <c r="B146" s="23" t="s">
        <v>12</v>
      </c>
      <c r="C146" s="54">
        <f>C23</f>
        <v>1100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3" t="s">
        <v>17</v>
      </c>
      <c r="B147" s="23" t="s">
        <v>29</v>
      </c>
      <c r="C147" s="54">
        <f>C73</f>
        <v>1137.7508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3" t="s">
        <v>19</v>
      </c>
      <c r="B148" s="23" t="s">
        <v>68</v>
      </c>
      <c r="C148" s="54">
        <f>C85</f>
        <v>78.65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3" t="s">
        <v>21</v>
      </c>
      <c r="B149" s="23" t="s">
        <v>76</v>
      </c>
      <c r="C149" s="54">
        <f>C117</f>
        <v>171.0361699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3" t="s">
        <v>23</v>
      </c>
      <c r="B150" s="23" t="s">
        <v>98</v>
      </c>
      <c r="C150" s="59">
        <f>C127</f>
        <v>50.61533333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5" t="s">
        <v>116</v>
      </c>
      <c r="B151" s="26"/>
      <c r="C151" s="54">
        <f>SUM(C146:C150)</f>
        <v>2538.052303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3" t="s">
        <v>25</v>
      </c>
      <c r="B152" s="23" t="s">
        <v>117</v>
      </c>
      <c r="C152" s="55">
        <f>D139</f>
        <v>674.3401907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5" t="s">
        <v>118</v>
      </c>
      <c r="B153" s="26"/>
      <c r="C153" s="54">
        <f>SUM(C151:C152)</f>
        <v>3212.392494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117:B117"/>
    <mergeCell ref="A120:C120"/>
    <mergeCell ref="A127:B127"/>
    <mergeCell ref="A130:C130"/>
    <mergeCell ref="A139:B139"/>
    <mergeCell ref="A143:C143"/>
    <mergeCell ref="A151:B151"/>
    <mergeCell ref="A153:B153"/>
    <mergeCell ref="A88:C88"/>
    <mergeCell ref="A89:D89"/>
    <mergeCell ref="A91:C91"/>
    <mergeCell ref="A102:B102"/>
    <mergeCell ref="A105:C105"/>
    <mergeCell ref="A109:B109"/>
    <mergeCell ref="A112:C112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63.13"/>
    <col customWidth="1" min="3" max="3" width="23.38"/>
    <col customWidth="1" min="4" max="4" width="12.5"/>
    <col customWidth="1" min="5" max="5" width="11.13"/>
    <col customWidth="1" min="6" max="6" width="10.5"/>
    <col customWidth="1" min="7" max="26" width="8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143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56">
        <v>1322.56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144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v>1322.56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1322.56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145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110.169248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C17*12.1%</f>
        <v>160.02976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38</v>
      </c>
      <c r="B36" s="23" t="s">
        <v>39</v>
      </c>
      <c r="C36" s="24">
        <f>C35*C51</f>
        <v>58.89095168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5" t="s">
        <v>27</v>
      </c>
      <c r="B37" s="26"/>
      <c r="C37" s="24">
        <f>SUM(C34:C36)</f>
        <v>329.0899597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2.25" customHeight="1">
      <c r="A40" s="31" t="s">
        <v>40</v>
      </c>
      <c r="B40" s="2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41</v>
      </c>
      <c r="B42" s="21" t="s">
        <v>42</v>
      </c>
      <c r="C42" s="21" t="s">
        <v>43</v>
      </c>
      <c r="D42" s="21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15</v>
      </c>
      <c r="B43" s="23" t="s">
        <v>44</v>
      </c>
      <c r="C43" s="32">
        <v>0.2</v>
      </c>
      <c r="D43" s="24">
        <f>C43*C17</f>
        <v>264.512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17</v>
      </c>
      <c r="B44" s="23" t="s">
        <v>45</v>
      </c>
      <c r="C44" s="32">
        <v>0.025</v>
      </c>
      <c r="D44" s="24">
        <f>C44*C17</f>
        <v>33.064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19</v>
      </c>
      <c r="B45" s="23" t="s">
        <v>46</v>
      </c>
      <c r="C45" s="33">
        <v>0.03</v>
      </c>
      <c r="D45" s="24">
        <f>C45*C17</f>
        <v>39.6768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21</v>
      </c>
      <c r="B46" s="23" t="s">
        <v>47</v>
      </c>
      <c r="C46" s="32">
        <v>0.015</v>
      </c>
      <c r="D46" s="24">
        <f>C46*C17</f>
        <v>19.8384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23</v>
      </c>
      <c r="B47" s="23" t="s">
        <v>48</v>
      </c>
      <c r="C47" s="32">
        <v>0.01</v>
      </c>
      <c r="D47" s="24">
        <f>C47*C17</f>
        <v>13.2256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25</v>
      </c>
      <c r="B48" s="23" t="s">
        <v>49</v>
      </c>
      <c r="C48" s="32">
        <v>0.006</v>
      </c>
      <c r="D48" s="24">
        <f>C48*C17</f>
        <v>7.93536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2">
        <v>0.002</v>
      </c>
      <c r="D49" s="24">
        <f>C49*C17</f>
        <v>2.64512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2" t="s">
        <v>52</v>
      </c>
      <c r="B50" s="23" t="s">
        <v>53</v>
      </c>
      <c r="C50" s="32">
        <v>0.08</v>
      </c>
      <c r="D50" s="24">
        <f>C50*C17</f>
        <v>105.8048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5" t="s">
        <v>54</v>
      </c>
      <c r="B51" s="26"/>
      <c r="C51" s="32">
        <f t="shared" ref="C51:D51" si="1">SUM(C43:C50)</f>
        <v>0.368</v>
      </c>
      <c r="D51" s="24">
        <f t="shared" si="1"/>
        <v>486.70208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146</v>
      </c>
      <c r="B52" s="34"/>
      <c r="C52" s="35"/>
      <c r="D52" s="3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147</v>
      </c>
      <c r="B53" s="34"/>
      <c r="C53" s="35"/>
      <c r="D53" s="3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9" t="s">
        <v>57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9" t="s">
        <v>58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 t="s">
        <v>59</v>
      </c>
      <c r="B58" s="21" t="s">
        <v>60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15</v>
      </c>
      <c r="B59" s="23" t="s">
        <v>61</v>
      </c>
      <c r="C59" s="24">
        <f>(2*3.5*26)-C17*0.06</f>
        <v>102.6464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17</v>
      </c>
      <c r="B60" s="23" t="s">
        <v>62</v>
      </c>
      <c r="C60" s="24">
        <f>13.1*0.8*21</f>
        <v>220.08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19</v>
      </c>
      <c r="B61" s="23" t="s">
        <v>63</v>
      </c>
      <c r="C61" s="24">
        <v>123.16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2" t="s">
        <v>21</v>
      </c>
      <c r="B62" s="23" t="s">
        <v>26</v>
      </c>
      <c r="C62" s="2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5" t="s">
        <v>27</v>
      </c>
      <c r="B63" s="26"/>
      <c r="C63" s="24">
        <f>SUM(C59:C62)</f>
        <v>445.8864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" t="s">
        <v>64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27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 t="s">
        <v>66</v>
      </c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0">
        <v>2.0</v>
      </c>
      <c r="B69" s="21" t="s">
        <v>67</v>
      </c>
      <c r="C69" s="21" t="s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34</v>
      </c>
      <c r="B70" s="23" t="s">
        <v>35</v>
      </c>
      <c r="C70" s="24">
        <f>C37</f>
        <v>329.0899597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41</v>
      </c>
      <c r="B71" s="23" t="s">
        <v>42</v>
      </c>
      <c r="C71" s="24">
        <f>D51</f>
        <v>486.70208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2" t="s">
        <v>59</v>
      </c>
      <c r="B72" s="23" t="s">
        <v>60</v>
      </c>
      <c r="C72" s="24">
        <f>C63</f>
        <v>445.8864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5" t="s">
        <v>27</v>
      </c>
      <c r="B73" s="26"/>
      <c r="C73" s="24">
        <f>SUM(C70:C72)</f>
        <v>1261.67844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 t="s">
        <v>68</v>
      </c>
      <c r="B76" s="2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0">
        <v>3.0</v>
      </c>
      <c r="B78" s="21" t="s">
        <v>69</v>
      </c>
      <c r="C78" s="21" t="s">
        <v>14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15</v>
      </c>
      <c r="B79" s="38" t="s">
        <v>70</v>
      </c>
      <c r="C79" s="24">
        <f>C17*0.46%</f>
        <v>6.083776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17</v>
      </c>
      <c r="B80" s="38" t="s">
        <v>71</v>
      </c>
      <c r="C80" s="24">
        <f>C17*0.04%</f>
        <v>0.529024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19</v>
      </c>
      <c r="B81" s="38" t="s">
        <v>72</v>
      </c>
      <c r="C81" s="24">
        <f>C17*2%</f>
        <v>26.4512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21</v>
      </c>
      <c r="B82" s="38" t="s">
        <v>73</v>
      </c>
      <c r="C82" s="24">
        <f>C17*1.94%</f>
        <v>25.657664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23</v>
      </c>
      <c r="B83" s="38" t="s">
        <v>74</v>
      </c>
      <c r="C83" s="24">
        <f>C17*0.71%</f>
        <v>9.390176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2" t="s">
        <v>25</v>
      </c>
      <c r="B84" s="38" t="s">
        <v>75</v>
      </c>
      <c r="C84" s="24">
        <f>C17*2%</f>
        <v>26.4512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5" t="s">
        <v>27</v>
      </c>
      <c r="B85" s="26"/>
      <c r="C85" s="24">
        <f>SUM(C79:C84)</f>
        <v>94.56304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 t="s">
        <v>76</v>
      </c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27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9" t="s">
        <v>78</v>
      </c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0" t="s">
        <v>79</v>
      </c>
      <c r="B93" s="21" t="s">
        <v>80</v>
      </c>
      <c r="C93" s="21" t="s">
        <v>14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15</v>
      </c>
      <c r="B94" s="23" t="s">
        <v>81</v>
      </c>
      <c r="C94" s="24">
        <f>9.075%*C17</f>
        <v>120.02232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17</v>
      </c>
      <c r="B95" s="23" t="s">
        <v>82</v>
      </c>
      <c r="C95" s="24">
        <f>0.28%*C17</f>
        <v>3.703168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19</v>
      </c>
      <c r="B96" s="23" t="s">
        <v>83</v>
      </c>
      <c r="C96" s="24">
        <f>0.04%*C17</f>
        <v>0.529024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21</v>
      </c>
      <c r="B97" s="23" t="s">
        <v>84</v>
      </c>
      <c r="C97" s="24">
        <f>0.27%*C17</f>
        <v>3.570912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23</v>
      </c>
      <c r="B98" s="23" t="s">
        <v>85</v>
      </c>
      <c r="C98" s="24">
        <f>0.0003*C17</f>
        <v>0.396768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86</v>
      </c>
      <c r="B99" s="23" t="s">
        <v>87</v>
      </c>
      <c r="C99" s="24">
        <f>C98*C51</f>
        <v>0.146010624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2" t="s">
        <v>25</v>
      </c>
      <c r="B100" s="23" t="s">
        <v>88</v>
      </c>
      <c r="C100" s="24">
        <f>1.66%*C17</f>
        <v>21.954496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0" t="s">
        <v>50</v>
      </c>
      <c r="B101" s="23" t="s">
        <v>89</v>
      </c>
      <c r="C101" s="24">
        <f>C51*(SUM(C94:C100))</f>
        <v>55.31875309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5" t="s">
        <v>54</v>
      </c>
      <c r="B102" s="26"/>
      <c r="C102" s="24">
        <f>SUM(C94:C101)</f>
        <v>205.6414517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9" t="s">
        <v>90</v>
      </c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0" t="s">
        <v>91</v>
      </c>
      <c r="B107" s="21" t="s">
        <v>92</v>
      </c>
      <c r="C107" s="21" t="s">
        <v>14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2" t="s">
        <v>15</v>
      </c>
      <c r="B108" s="23" t="s">
        <v>93</v>
      </c>
      <c r="C108" s="36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5" t="s">
        <v>27</v>
      </c>
      <c r="B109" s="26"/>
      <c r="C109" s="36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9" t="s">
        <v>94</v>
      </c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0">
        <v>4.0</v>
      </c>
      <c r="B114" s="21" t="s">
        <v>95</v>
      </c>
      <c r="C114" s="21" t="s">
        <v>14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79</v>
      </c>
      <c r="B115" s="23" t="s">
        <v>96</v>
      </c>
      <c r="C115" s="24">
        <f>C102</f>
        <v>205.6414517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2" t="s">
        <v>91</v>
      </c>
      <c r="B116" s="23" t="s">
        <v>97</v>
      </c>
      <c r="C116" s="36">
        <f>C109</f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5" t="s">
        <v>27</v>
      </c>
      <c r="B117" s="26"/>
      <c r="C117" s="24">
        <f>SUM(C115:C116)</f>
        <v>205.6414517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 t="s">
        <v>98</v>
      </c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0">
        <v>5.0</v>
      </c>
      <c r="B122" s="39" t="s">
        <v>99</v>
      </c>
      <c r="C122" s="21" t="s">
        <v>14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15</v>
      </c>
      <c r="B123" s="23" t="s">
        <v>100</v>
      </c>
      <c r="C123" s="36">
        <f>'Equipamentos, Uniformes e EPIs'!E24/12</f>
        <v>45.12333333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17</v>
      </c>
      <c r="B124" s="23" t="s">
        <v>101</v>
      </c>
      <c r="C124" s="3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19</v>
      </c>
      <c r="B125" s="23" t="s">
        <v>102</v>
      </c>
      <c r="C125" s="3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21</v>
      </c>
      <c r="B126" s="23" t="s">
        <v>26</v>
      </c>
      <c r="C126" s="3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5" t="s">
        <v>54</v>
      </c>
      <c r="B127" s="26"/>
      <c r="C127" s="36">
        <f>SUM(C123:C126)</f>
        <v>45.12333333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9" t="s">
        <v>148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 t="s">
        <v>104</v>
      </c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0">
        <v>6.0</v>
      </c>
      <c r="B132" s="39" t="s">
        <v>105</v>
      </c>
      <c r="C132" s="21" t="s">
        <v>43</v>
      </c>
      <c r="D132" s="21" t="s">
        <v>14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15</v>
      </c>
      <c r="B133" s="23" t="s">
        <v>106</v>
      </c>
      <c r="C133" s="43">
        <v>0.04</v>
      </c>
      <c r="D133" s="24">
        <f>C151*C133</f>
        <v>117.1826506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17</v>
      </c>
      <c r="B134" s="23" t="s">
        <v>107</v>
      </c>
      <c r="C134" s="43">
        <v>0.08</v>
      </c>
      <c r="D134" s="24">
        <f>(C151+D133)*C134</f>
        <v>243.7399132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 t="s">
        <v>19</v>
      </c>
      <c r="B135" s="23" t="s">
        <v>108</v>
      </c>
      <c r="C135" s="44"/>
      <c r="D135" s="4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109</v>
      </c>
      <c r="C136" s="45">
        <v>0.0165</v>
      </c>
      <c r="D136" s="46">
        <f>((C151)/1-(C136+C137+C138))*C136</f>
        <v>48.33549212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110</v>
      </c>
      <c r="C137" s="47">
        <v>0.076</v>
      </c>
      <c r="D137" s="48">
        <f>((C151)/1-(C139))*C137</f>
        <v>222.6362061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2"/>
      <c r="B138" s="23" t="s">
        <v>111</v>
      </c>
      <c r="C138" s="49">
        <v>0.05</v>
      </c>
      <c r="D138" s="48">
        <f>((C151)/1-(C139))*C138</f>
        <v>146.4711882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5" t="s">
        <v>54</v>
      </c>
      <c r="B139" s="26"/>
      <c r="C139" s="50">
        <f>SUM(C136:C138)</f>
        <v>0.1425</v>
      </c>
      <c r="D139" s="51">
        <f>SUM(D133:D138)</f>
        <v>778.3654503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149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9" t="s">
        <v>150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 t="s">
        <v>114</v>
      </c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0"/>
      <c r="B145" s="21" t="s">
        <v>115</v>
      </c>
      <c r="C145" s="21" t="s">
        <v>14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3" t="s">
        <v>15</v>
      </c>
      <c r="B146" s="23" t="s">
        <v>12</v>
      </c>
      <c r="C146" s="54">
        <f>C23</f>
        <v>1322.56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3" t="s">
        <v>17</v>
      </c>
      <c r="B147" s="23" t="s">
        <v>29</v>
      </c>
      <c r="C147" s="54">
        <f>C73</f>
        <v>1261.67844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3" t="s">
        <v>19</v>
      </c>
      <c r="B148" s="23" t="s">
        <v>68</v>
      </c>
      <c r="C148" s="54">
        <f>C85</f>
        <v>94.56304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3" t="s">
        <v>21</v>
      </c>
      <c r="B149" s="23" t="s">
        <v>76</v>
      </c>
      <c r="C149" s="54">
        <f>C117</f>
        <v>205.6414517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3" t="s">
        <v>23</v>
      </c>
      <c r="B150" s="23" t="s">
        <v>98</v>
      </c>
      <c r="C150" s="59">
        <f>C127</f>
        <v>45.12333333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5" t="s">
        <v>116</v>
      </c>
      <c r="B151" s="26"/>
      <c r="C151" s="54">
        <f>SUM(C146:C150)</f>
        <v>2929.566265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3" t="s">
        <v>25</v>
      </c>
      <c r="B152" s="23" t="s">
        <v>117</v>
      </c>
      <c r="C152" s="59">
        <f>D139</f>
        <v>778.3654503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5" t="s">
        <v>118</v>
      </c>
      <c r="B153" s="26"/>
      <c r="C153" s="54">
        <f>SUM(C151:C152)</f>
        <v>3707.931715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117:B117"/>
    <mergeCell ref="A120:C120"/>
    <mergeCell ref="A127:B127"/>
    <mergeCell ref="A130:C130"/>
    <mergeCell ref="A139:B139"/>
    <mergeCell ref="A143:C143"/>
    <mergeCell ref="A151:B151"/>
    <mergeCell ref="A153:B153"/>
    <mergeCell ref="A88:C88"/>
    <mergeCell ref="A89:D89"/>
    <mergeCell ref="A91:C91"/>
    <mergeCell ref="A102:B102"/>
    <mergeCell ref="A105:C105"/>
    <mergeCell ref="A109:B109"/>
    <mergeCell ref="A112:C112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63.13"/>
    <col customWidth="1" min="3" max="3" width="23.38"/>
    <col customWidth="1" min="4" max="4" width="12.5"/>
    <col customWidth="1" min="5" max="5" width="11.13"/>
    <col customWidth="1" min="6" max="6" width="10.5"/>
    <col customWidth="1" min="7" max="26" width="8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151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56">
        <v>1100.0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152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v>1100.0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1100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153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91.63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C17*12.1%</f>
        <v>133.1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38</v>
      </c>
      <c r="B36" s="23" t="s">
        <v>39</v>
      </c>
      <c r="C36" s="24">
        <f>C35*C51</f>
        <v>48.9808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5" t="s">
        <v>27</v>
      </c>
      <c r="B37" s="26"/>
      <c r="C37" s="24">
        <f>SUM(C34:C36)</f>
        <v>273.7108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2.25" customHeight="1">
      <c r="A40" s="31" t="s">
        <v>40</v>
      </c>
      <c r="B40" s="2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41</v>
      </c>
      <c r="B42" s="21" t="s">
        <v>42</v>
      </c>
      <c r="C42" s="21" t="s">
        <v>43</v>
      </c>
      <c r="D42" s="21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15</v>
      </c>
      <c r="B43" s="23" t="s">
        <v>44</v>
      </c>
      <c r="C43" s="32">
        <v>0.2</v>
      </c>
      <c r="D43" s="24">
        <f>C43*C17</f>
        <v>220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17</v>
      </c>
      <c r="B44" s="23" t="s">
        <v>45</v>
      </c>
      <c r="C44" s="32">
        <v>0.025</v>
      </c>
      <c r="D44" s="24">
        <f>C44*C17</f>
        <v>27.5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19</v>
      </c>
      <c r="B45" s="23" t="s">
        <v>46</v>
      </c>
      <c r="C45" s="33">
        <v>0.03</v>
      </c>
      <c r="D45" s="24">
        <f>C45*C17</f>
        <v>33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21</v>
      </c>
      <c r="B46" s="23" t="s">
        <v>47</v>
      </c>
      <c r="C46" s="32">
        <v>0.015</v>
      </c>
      <c r="D46" s="24">
        <f>C46*C17</f>
        <v>16.5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23</v>
      </c>
      <c r="B47" s="23" t="s">
        <v>48</v>
      </c>
      <c r="C47" s="32">
        <v>0.01</v>
      </c>
      <c r="D47" s="24">
        <f>C47*C17</f>
        <v>11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25</v>
      </c>
      <c r="B48" s="23" t="s">
        <v>49</v>
      </c>
      <c r="C48" s="32">
        <v>0.006</v>
      </c>
      <c r="D48" s="24">
        <f>C48*C17</f>
        <v>6.6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2">
        <v>0.002</v>
      </c>
      <c r="D49" s="24">
        <f>C49*C17</f>
        <v>2.2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2" t="s">
        <v>52</v>
      </c>
      <c r="B50" s="23" t="s">
        <v>53</v>
      </c>
      <c r="C50" s="32">
        <v>0.08</v>
      </c>
      <c r="D50" s="24">
        <f>C50*C17</f>
        <v>88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5" t="s">
        <v>54</v>
      </c>
      <c r="B51" s="26"/>
      <c r="C51" s="32">
        <f t="shared" ref="C51:D51" si="1">SUM(C43:C50)</f>
        <v>0.368</v>
      </c>
      <c r="D51" s="24">
        <f t="shared" si="1"/>
        <v>404.8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154</v>
      </c>
      <c r="B52" s="34"/>
      <c r="C52" s="35"/>
      <c r="D52" s="3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155</v>
      </c>
      <c r="B53" s="34"/>
      <c r="C53" s="35"/>
      <c r="D53" s="3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9" t="s">
        <v>57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9" t="s">
        <v>58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 t="s">
        <v>59</v>
      </c>
      <c r="B58" s="21" t="s">
        <v>60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15</v>
      </c>
      <c r="B59" s="23" t="s">
        <v>61</v>
      </c>
      <c r="C59" s="24">
        <f>(2*3.5*26)-C17*0.06</f>
        <v>116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17</v>
      </c>
      <c r="B60" s="23" t="s">
        <v>62</v>
      </c>
      <c r="C60" s="24">
        <f>13.1*0.8*21</f>
        <v>220.08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19</v>
      </c>
      <c r="B61" s="23" t="s">
        <v>63</v>
      </c>
      <c r="C61" s="24">
        <v>123.16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2" t="s">
        <v>21</v>
      </c>
      <c r="B62" s="23" t="s">
        <v>26</v>
      </c>
      <c r="C62" s="2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5" t="s">
        <v>27</v>
      </c>
      <c r="B63" s="26"/>
      <c r="C63" s="24">
        <f>SUM(C59:C62)</f>
        <v>459.24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" t="s">
        <v>64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27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 t="s">
        <v>66</v>
      </c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0">
        <v>2.0</v>
      </c>
      <c r="B69" s="21" t="s">
        <v>67</v>
      </c>
      <c r="C69" s="21" t="s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34</v>
      </c>
      <c r="B70" s="23" t="s">
        <v>35</v>
      </c>
      <c r="C70" s="24">
        <f>C37</f>
        <v>273.7108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41</v>
      </c>
      <c r="B71" s="23" t="s">
        <v>42</v>
      </c>
      <c r="C71" s="24">
        <f>D51</f>
        <v>404.8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2" t="s">
        <v>59</v>
      </c>
      <c r="B72" s="23" t="s">
        <v>60</v>
      </c>
      <c r="C72" s="24">
        <f>C63</f>
        <v>459.24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5" t="s">
        <v>27</v>
      </c>
      <c r="B73" s="26"/>
      <c r="C73" s="24">
        <f>SUM(C70:C72)</f>
        <v>1137.7508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 t="s">
        <v>68</v>
      </c>
      <c r="B76" s="2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0">
        <v>3.0</v>
      </c>
      <c r="B78" s="21" t="s">
        <v>69</v>
      </c>
      <c r="C78" s="21" t="s">
        <v>14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15</v>
      </c>
      <c r="B79" s="38" t="s">
        <v>70</v>
      </c>
      <c r="C79" s="24">
        <f>C17*0.46%</f>
        <v>5.06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17</v>
      </c>
      <c r="B80" s="38" t="s">
        <v>71</v>
      </c>
      <c r="C80" s="24">
        <f>C17*0.04%</f>
        <v>0.44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19</v>
      </c>
      <c r="B81" s="38" t="s">
        <v>72</v>
      </c>
      <c r="C81" s="24">
        <f>C17*2%</f>
        <v>22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21</v>
      </c>
      <c r="B82" s="38" t="s">
        <v>73</v>
      </c>
      <c r="C82" s="24">
        <f>C17*1.94%</f>
        <v>21.34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23</v>
      </c>
      <c r="B83" s="38" t="s">
        <v>74</v>
      </c>
      <c r="C83" s="24">
        <f>C17*0.71%</f>
        <v>7.81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2" t="s">
        <v>25</v>
      </c>
      <c r="B84" s="38" t="s">
        <v>75</v>
      </c>
      <c r="C84" s="24">
        <f>C17*2%</f>
        <v>22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5" t="s">
        <v>27</v>
      </c>
      <c r="B85" s="26"/>
      <c r="C85" s="24">
        <f>SUM(C79:C84)</f>
        <v>78.65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 t="s">
        <v>76</v>
      </c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27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9" t="s">
        <v>78</v>
      </c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0" t="s">
        <v>79</v>
      </c>
      <c r="B93" s="21" t="s">
        <v>80</v>
      </c>
      <c r="C93" s="21" t="s">
        <v>14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15</v>
      </c>
      <c r="B94" s="23" t="s">
        <v>81</v>
      </c>
      <c r="C94" s="24">
        <f>9.075%*C17</f>
        <v>99.825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17</v>
      </c>
      <c r="B95" s="23" t="s">
        <v>82</v>
      </c>
      <c r="C95" s="24">
        <f>0.28%*C17</f>
        <v>3.08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19</v>
      </c>
      <c r="B96" s="23" t="s">
        <v>83</v>
      </c>
      <c r="C96" s="24">
        <f>0.04%*C17</f>
        <v>0.44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21</v>
      </c>
      <c r="B97" s="23" t="s">
        <v>84</v>
      </c>
      <c r="C97" s="24">
        <f>0.27%*C17</f>
        <v>2.97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23</v>
      </c>
      <c r="B98" s="23" t="s">
        <v>85</v>
      </c>
      <c r="C98" s="24">
        <f>0.0003*C17</f>
        <v>0.33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86</v>
      </c>
      <c r="B99" s="23" t="s">
        <v>87</v>
      </c>
      <c r="C99" s="24">
        <f>C98*C51</f>
        <v>0.12144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2" t="s">
        <v>25</v>
      </c>
      <c r="B100" s="23" t="s">
        <v>88</v>
      </c>
      <c r="C100" s="24">
        <f>1.66%*C17</f>
        <v>18.26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0" t="s">
        <v>50</v>
      </c>
      <c r="B101" s="23" t="s">
        <v>89</v>
      </c>
      <c r="C101" s="24">
        <f>C51*(SUM(C94:C100))</f>
        <v>46.00972992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5" t="s">
        <v>54</v>
      </c>
      <c r="B102" s="26"/>
      <c r="C102" s="24">
        <f>SUM(C94:C101)</f>
        <v>171.0361699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9" t="s">
        <v>90</v>
      </c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0" t="s">
        <v>91</v>
      </c>
      <c r="B107" s="21" t="s">
        <v>92</v>
      </c>
      <c r="C107" s="21" t="s">
        <v>14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2" t="s">
        <v>15</v>
      </c>
      <c r="B108" s="23" t="s">
        <v>93</v>
      </c>
      <c r="C108" s="36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5" t="s">
        <v>27</v>
      </c>
      <c r="B109" s="26"/>
      <c r="C109" s="36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9" t="s">
        <v>94</v>
      </c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0">
        <v>4.0</v>
      </c>
      <c r="B114" s="21" t="s">
        <v>95</v>
      </c>
      <c r="C114" s="21" t="s">
        <v>14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79</v>
      </c>
      <c r="B115" s="23" t="s">
        <v>96</v>
      </c>
      <c r="C115" s="24">
        <f>C102</f>
        <v>171.0361699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2" t="s">
        <v>91</v>
      </c>
      <c r="B116" s="23" t="s">
        <v>97</v>
      </c>
      <c r="C116" s="36">
        <f>C109</f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5" t="s">
        <v>27</v>
      </c>
      <c r="B117" s="26"/>
      <c r="C117" s="24">
        <f>SUM(C115:C116)</f>
        <v>171.0361699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 t="s">
        <v>98</v>
      </c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0">
        <v>5.0</v>
      </c>
      <c r="B122" s="39" t="s">
        <v>99</v>
      </c>
      <c r="C122" s="21" t="s">
        <v>14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15</v>
      </c>
      <c r="B123" s="23" t="s">
        <v>100</v>
      </c>
      <c r="C123" s="36">
        <f>'Aux. Administrativo'!C123</f>
        <v>45.12333333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17</v>
      </c>
      <c r="B124" s="23" t="s">
        <v>101</v>
      </c>
      <c r="C124" s="4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19</v>
      </c>
      <c r="B125" s="23" t="s">
        <v>102</v>
      </c>
      <c r="C125" s="4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21</v>
      </c>
      <c r="B126" s="23" t="s">
        <v>26</v>
      </c>
      <c r="C126" s="4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5" t="s">
        <v>54</v>
      </c>
      <c r="B127" s="26"/>
      <c r="C127" s="36">
        <f>SUM(C123:C126)</f>
        <v>45.12333333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9" t="s">
        <v>156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 t="s">
        <v>104</v>
      </c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0">
        <v>6.0</v>
      </c>
      <c r="B132" s="39" t="s">
        <v>105</v>
      </c>
      <c r="C132" s="21" t="s">
        <v>43</v>
      </c>
      <c r="D132" s="21" t="s">
        <v>14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15</v>
      </c>
      <c r="B133" s="23" t="s">
        <v>106</v>
      </c>
      <c r="C133" s="43">
        <v>0.04</v>
      </c>
      <c r="D133" s="24">
        <f>C151*C133</f>
        <v>101.3024121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17</v>
      </c>
      <c r="B134" s="23" t="s">
        <v>107</v>
      </c>
      <c r="C134" s="43">
        <v>0.08</v>
      </c>
      <c r="D134" s="24">
        <f>(C151+D133)*C134</f>
        <v>210.7090172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 t="s">
        <v>19</v>
      </c>
      <c r="B135" s="23" t="s">
        <v>108</v>
      </c>
      <c r="C135" s="44"/>
      <c r="D135" s="4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109</v>
      </c>
      <c r="C136" s="45">
        <v>0.0165</v>
      </c>
      <c r="D136" s="46">
        <f>((C151)/1-(C136+C137+C138))*C136</f>
        <v>41.78489375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110</v>
      </c>
      <c r="C137" s="47">
        <v>0.076</v>
      </c>
      <c r="D137" s="48">
        <f>((C151)/1-(C139))*C137</f>
        <v>192.463753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2"/>
      <c r="B138" s="23" t="s">
        <v>111</v>
      </c>
      <c r="C138" s="49">
        <v>0.05</v>
      </c>
      <c r="D138" s="48">
        <f>((C151)/1-(C139))*C138</f>
        <v>126.6208902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5" t="s">
        <v>54</v>
      </c>
      <c r="B139" s="26"/>
      <c r="C139" s="50">
        <f>SUM(C136:C138)</f>
        <v>0.1425</v>
      </c>
      <c r="D139" s="51">
        <f>SUM(D133:D138)</f>
        <v>672.8809663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157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9" t="s">
        <v>158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 t="s">
        <v>114</v>
      </c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0"/>
      <c r="B145" s="21" t="s">
        <v>115</v>
      </c>
      <c r="C145" s="21" t="s">
        <v>14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3" t="s">
        <v>15</v>
      </c>
      <c r="B146" s="23" t="s">
        <v>12</v>
      </c>
      <c r="C146" s="54">
        <f>C23</f>
        <v>1100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3" t="s">
        <v>17</v>
      </c>
      <c r="B147" s="23" t="s">
        <v>29</v>
      </c>
      <c r="C147" s="54">
        <f>C73</f>
        <v>1137.7508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3" t="s">
        <v>19</v>
      </c>
      <c r="B148" s="23" t="s">
        <v>68</v>
      </c>
      <c r="C148" s="54">
        <f>C85</f>
        <v>78.65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3" t="s">
        <v>21</v>
      </c>
      <c r="B149" s="23" t="s">
        <v>76</v>
      </c>
      <c r="C149" s="54">
        <f>C117</f>
        <v>171.0361699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3" t="s">
        <v>23</v>
      </c>
      <c r="B150" s="23" t="s">
        <v>98</v>
      </c>
      <c r="C150" s="59">
        <f>C127</f>
        <v>45.12333333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5" t="s">
        <v>116</v>
      </c>
      <c r="B151" s="26"/>
      <c r="C151" s="54">
        <f>SUM(C146:C150)</f>
        <v>2532.560303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3" t="s">
        <v>25</v>
      </c>
      <c r="B152" s="23" t="s">
        <v>117</v>
      </c>
      <c r="C152" s="59">
        <f>D139</f>
        <v>672.8809663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5" t="s">
        <v>118</v>
      </c>
      <c r="B153" s="26"/>
      <c r="C153" s="54">
        <f>SUM(C151:C152)</f>
        <v>3205.44127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117:B117"/>
    <mergeCell ref="A120:C120"/>
    <mergeCell ref="A127:B127"/>
    <mergeCell ref="A130:C130"/>
    <mergeCell ref="A139:B139"/>
    <mergeCell ref="A143:C143"/>
    <mergeCell ref="A151:B151"/>
    <mergeCell ref="A153:B153"/>
    <mergeCell ref="A88:C88"/>
    <mergeCell ref="A89:D89"/>
    <mergeCell ref="A91:C91"/>
    <mergeCell ref="A102:B102"/>
    <mergeCell ref="A105:C105"/>
    <mergeCell ref="A109:B109"/>
    <mergeCell ref="A112:C112"/>
  </mergeCells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63.13"/>
    <col customWidth="1" min="3" max="3" width="23.38"/>
    <col customWidth="1" min="4" max="4" width="12.5"/>
    <col customWidth="1" min="5" max="5" width="11.13"/>
    <col customWidth="1" min="6" max="6" width="10.5"/>
    <col customWidth="1" min="7" max="26" width="8.0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159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56">
        <v>1956.65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160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v>1956.65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1956.65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161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162.988945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C17*12.1%</f>
        <v>236.75465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38</v>
      </c>
      <c r="B36" s="23" t="s">
        <v>39</v>
      </c>
      <c r="C36" s="24">
        <f>C35*C51</f>
        <v>87.1257112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5" t="s">
        <v>27</v>
      </c>
      <c r="B37" s="26"/>
      <c r="C37" s="24">
        <f>SUM(C34:C36)</f>
        <v>486.8693062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2.25" customHeight="1">
      <c r="A40" s="31" t="s">
        <v>40</v>
      </c>
      <c r="B40" s="2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0" t="s">
        <v>41</v>
      </c>
      <c r="B42" s="21" t="s">
        <v>42</v>
      </c>
      <c r="C42" s="21" t="s">
        <v>43</v>
      </c>
      <c r="D42" s="21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15</v>
      </c>
      <c r="B43" s="23" t="s">
        <v>44</v>
      </c>
      <c r="C43" s="32">
        <v>0.2</v>
      </c>
      <c r="D43" s="24">
        <f>C43*C17</f>
        <v>391.33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17</v>
      </c>
      <c r="B44" s="23" t="s">
        <v>45</v>
      </c>
      <c r="C44" s="32">
        <v>0.025</v>
      </c>
      <c r="D44" s="24">
        <f>C44*C17</f>
        <v>48.91625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19</v>
      </c>
      <c r="B45" s="23" t="s">
        <v>46</v>
      </c>
      <c r="C45" s="33">
        <v>0.03</v>
      </c>
      <c r="D45" s="24">
        <f>C45*C17</f>
        <v>58.6995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21</v>
      </c>
      <c r="B46" s="23" t="s">
        <v>47</v>
      </c>
      <c r="C46" s="32">
        <v>0.015</v>
      </c>
      <c r="D46" s="24">
        <f>C46*C17</f>
        <v>29.34975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23</v>
      </c>
      <c r="B47" s="23" t="s">
        <v>48</v>
      </c>
      <c r="C47" s="32">
        <v>0.01</v>
      </c>
      <c r="D47" s="24">
        <f>C47*C17</f>
        <v>19.5665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25</v>
      </c>
      <c r="B48" s="23" t="s">
        <v>49</v>
      </c>
      <c r="C48" s="32">
        <v>0.006</v>
      </c>
      <c r="D48" s="24">
        <f>C48*C17</f>
        <v>11.7399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2">
        <v>0.002</v>
      </c>
      <c r="D49" s="24">
        <f>C49*C17</f>
        <v>3.9133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2" t="s">
        <v>52</v>
      </c>
      <c r="B50" s="23" t="s">
        <v>53</v>
      </c>
      <c r="C50" s="32">
        <v>0.08</v>
      </c>
      <c r="D50" s="24">
        <f>C50*C17</f>
        <v>156.532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25" t="s">
        <v>54</v>
      </c>
      <c r="B51" s="26"/>
      <c r="C51" s="32">
        <f t="shared" ref="C51:D51" si="1">SUM(C43:C50)</f>
        <v>0.368</v>
      </c>
      <c r="D51" s="24">
        <f t="shared" si="1"/>
        <v>720.0472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162</v>
      </c>
      <c r="B52" s="34"/>
      <c r="C52" s="35"/>
      <c r="D52" s="3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163</v>
      </c>
      <c r="B53" s="34"/>
      <c r="C53" s="35"/>
      <c r="D53" s="3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9" t="s">
        <v>57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9" t="s">
        <v>58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 t="s">
        <v>59</v>
      </c>
      <c r="B58" s="21" t="s">
        <v>60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15</v>
      </c>
      <c r="B59" s="23" t="s">
        <v>61</v>
      </c>
      <c r="C59" s="24">
        <f>(2*3.5*26)-C17*0.06</f>
        <v>64.601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17</v>
      </c>
      <c r="B60" s="23" t="s">
        <v>62</v>
      </c>
      <c r="C60" s="24">
        <f>13.1*0.8*21</f>
        <v>220.08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19</v>
      </c>
      <c r="B61" s="23" t="s">
        <v>63</v>
      </c>
      <c r="C61" s="24">
        <v>123.16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2" t="s">
        <v>21</v>
      </c>
      <c r="B62" s="23" t="s">
        <v>26</v>
      </c>
      <c r="C62" s="2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5" t="s">
        <v>27</v>
      </c>
      <c r="B63" s="26"/>
      <c r="C63" s="24">
        <f>SUM(C59:C62)</f>
        <v>407.841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9" t="s">
        <v>64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27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9" t="s">
        <v>66</v>
      </c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0">
        <v>2.0</v>
      </c>
      <c r="B69" s="21" t="s">
        <v>67</v>
      </c>
      <c r="C69" s="21" t="s">
        <v>14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34</v>
      </c>
      <c r="B70" s="23" t="s">
        <v>35</v>
      </c>
      <c r="C70" s="24">
        <f>C37</f>
        <v>486.8693062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41</v>
      </c>
      <c r="B71" s="23" t="s">
        <v>42</v>
      </c>
      <c r="C71" s="24">
        <f>D51</f>
        <v>720.0472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2" t="s">
        <v>59</v>
      </c>
      <c r="B72" s="23" t="s">
        <v>60</v>
      </c>
      <c r="C72" s="24">
        <f>C63</f>
        <v>407.841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5" t="s">
        <v>27</v>
      </c>
      <c r="B73" s="26"/>
      <c r="C73" s="24">
        <f>SUM(C70:C72)</f>
        <v>1614.757506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 t="s">
        <v>68</v>
      </c>
      <c r="B76" s="2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0">
        <v>3.0</v>
      </c>
      <c r="B78" s="21" t="s">
        <v>69</v>
      </c>
      <c r="C78" s="21" t="s">
        <v>14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15</v>
      </c>
      <c r="B79" s="38" t="s">
        <v>70</v>
      </c>
      <c r="C79" s="24">
        <f>C17*0.46%</f>
        <v>9.00059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17</v>
      </c>
      <c r="B80" s="38" t="s">
        <v>71</v>
      </c>
      <c r="C80" s="24">
        <f>C17*0.04%</f>
        <v>0.78266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19</v>
      </c>
      <c r="B81" s="38" t="s">
        <v>72</v>
      </c>
      <c r="C81" s="24">
        <f>C17*2%</f>
        <v>39.133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21</v>
      </c>
      <c r="B82" s="38" t="s">
        <v>73</v>
      </c>
      <c r="C82" s="24">
        <f>C17*1.94%</f>
        <v>37.95901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23</v>
      </c>
      <c r="B83" s="38" t="s">
        <v>74</v>
      </c>
      <c r="C83" s="24">
        <f>C17*0.71%</f>
        <v>13.892215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2" t="s">
        <v>25</v>
      </c>
      <c r="B84" s="38" t="s">
        <v>75</v>
      </c>
      <c r="C84" s="24">
        <f>C17*2%</f>
        <v>39.133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5" t="s">
        <v>27</v>
      </c>
      <c r="B85" s="26"/>
      <c r="C85" s="24">
        <f>SUM(C79:C84)</f>
        <v>139.900475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 t="s">
        <v>76</v>
      </c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27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9" t="s">
        <v>78</v>
      </c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0" t="s">
        <v>79</v>
      </c>
      <c r="B93" s="21" t="s">
        <v>80</v>
      </c>
      <c r="C93" s="21" t="s">
        <v>14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15</v>
      </c>
      <c r="B94" s="23" t="s">
        <v>81</v>
      </c>
      <c r="C94" s="24">
        <f>9.075%*C17</f>
        <v>177.5659875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17</v>
      </c>
      <c r="B95" s="23" t="s">
        <v>82</v>
      </c>
      <c r="C95" s="24">
        <f>0.28%*C17</f>
        <v>5.47862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19</v>
      </c>
      <c r="B96" s="23" t="s">
        <v>83</v>
      </c>
      <c r="C96" s="24">
        <f>0.04%*C17</f>
        <v>0.78266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21</v>
      </c>
      <c r="B97" s="23" t="s">
        <v>84</v>
      </c>
      <c r="C97" s="24">
        <f>0.27%*C17</f>
        <v>5.282955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23</v>
      </c>
      <c r="B98" s="23" t="s">
        <v>85</v>
      </c>
      <c r="C98" s="24">
        <f>0.0003*C17</f>
        <v>0.586995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86</v>
      </c>
      <c r="B99" s="23" t="s">
        <v>87</v>
      </c>
      <c r="C99" s="24">
        <f>C98*C51</f>
        <v>0.21601416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2" t="s">
        <v>25</v>
      </c>
      <c r="B100" s="23" t="s">
        <v>88</v>
      </c>
      <c r="C100" s="24">
        <f>1.66%*C17</f>
        <v>32.48039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0" t="s">
        <v>50</v>
      </c>
      <c r="B101" s="23" t="s">
        <v>89</v>
      </c>
      <c r="C101" s="24">
        <f>C51*(SUM(C94:C100))</f>
        <v>81.84085277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5" t="s">
        <v>54</v>
      </c>
      <c r="B102" s="26"/>
      <c r="C102" s="24">
        <f>SUM(C94:C101)</f>
        <v>304.2344744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9" t="s">
        <v>90</v>
      </c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0" t="s">
        <v>91</v>
      </c>
      <c r="B107" s="21" t="s">
        <v>92</v>
      </c>
      <c r="C107" s="21" t="s">
        <v>14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2" t="s">
        <v>15</v>
      </c>
      <c r="B108" s="23" t="s">
        <v>93</v>
      </c>
      <c r="C108" s="36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25" t="s">
        <v>27</v>
      </c>
      <c r="B109" s="26"/>
      <c r="C109" s="36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9" t="s">
        <v>94</v>
      </c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0">
        <v>4.0</v>
      </c>
      <c r="B114" s="21" t="s">
        <v>95</v>
      </c>
      <c r="C114" s="21" t="s">
        <v>14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79</v>
      </c>
      <c r="B115" s="23" t="s">
        <v>96</v>
      </c>
      <c r="C115" s="24">
        <f>C102</f>
        <v>304.2344744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2" t="s">
        <v>91</v>
      </c>
      <c r="B116" s="23" t="s">
        <v>97</v>
      </c>
      <c r="C116" s="36">
        <f>C109</f>
        <v>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5" t="s">
        <v>27</v>
      </c>
      <c r="B117" s="26"/>
      <c r="C117" s="24">
        <f>SUM(C115:C116)</f>
        <v>304.2344744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 t="s">
        <v>98</v>
      </c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0">
        <v>5.0</v>
      </c>
      <c r="B122" s="39" t="s">
        <v>99</v>
      </c>
      <c r="C122" s="21" t="s">
        <v>14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15</v>
      </c>
      <c r="B123" s="23" t="s">
        <v>100</v>
      </c>
      <c r="C123" s="36">
        <f>'Aux. Administrativo'!C123</f>
        <v>45.12333333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17</v>
      </c>
      <c r="B124" s="23" t="s">
        <v>101</v>
      </c>
      <c r="C124" s="4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19</v>
      </c>
      <c r="B125" s="23" t="s">
        <v>102</v>
      </c>
      <c r="C125" s="4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21</v>
      </c>
      <c r="B126" s="23" t="s">
        <v>26</v>
      </c>
      <c r="C126" s="4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5" t="s">
        <v>54</v>
      </c>
      <c r="B127" s="26"/>
      <c r="C127" s="36">
        <f>SUM(C123:C126)</f>
        <v>45.12333333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9" t="s">
        <v>164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 t="s">
        <v>104</v>
      </c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0">
        <v>6.0</v>
      </c>
      <c r="B132" s="39" t="s">
        <v>105</v>
      </c>
      <c r="C132" s="21" t="s">
        <v>43</v>
      </c>
      <c r="D132" s="21" t="s">
        <v>14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15</v>
      </c>
      <c r="B133" s="23" t="s">
        <v>106</v>
      </c>
      <c r="C133" s="43">
        <v>0.04</v>
      </c>
      <c r="D133" s="24">
        <f>C151*C133</f>
        <v>162.4266316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17</v>
      </c>
      <c r="B134" s="23" t="s">
        <v>107</v>
      </c>
      <c r="C134" s="43">
        <v>0.08</v>
      </c>
      <c r="D134" s="24">
        <f>(C151+D133)*C134</f>
        <v>337.8473936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 t="s">
        <v>19</v>
      </c>
      <c r="B135" s="23" t="s">
        <v>108</v>
      </c>
      <c r="C135" s="44"/>
      <c r="D135" s="4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109</v>
      </c>
      <c r="C136" s="45">
        <v>0.0165</v>
      </c>
      <c r="D136" s="46">
        <f>((C151)/1-(C136+C137+C138))*C136</f>
        <v>66.99863427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110</v>
      </c>
      <c r="C137" s="47">
        <v>0.076</v>
      </c>
      <c r="D137" s="48">
        <f>((C151)/1-(C139))*C137</f>
        <v>308.59977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2"/>
      <c r="B138" s="23" t="s">
        <v>111</v>
      </c>
      <c r="C138" s="49">
        <v>0.05</v>
      </c>
      <c r="D138" s="48">
        <f>((C151)/1-(C139))*C138</f>
        <v>203.0261644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25" t="s">
        <v>54</v>
      </c>
      <c r="B139" s="26"/>
      <c r="C139" s="50">
        <f>SUM(C136:C138)</f>
        <v>0.1425</v>
      </c>
      <c r="D139" s="51">
        <f>SUM(D133:D138)</f>
        <v>1078.898594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165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9" t="s">
        <v>166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 t="s">
        <v>114</v>
      </c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20"/>
      <c r="B145" s="21" t="s">
        <v>115</v>
      </c>
      <c r="C145" s="21" t="s">
        <v>14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3" t="s">
        <v>15</v>
      </c>
      <c r="B146" s="23" t="s">
        <v>12</v>
      </c>
      <c r="C146" s="54">
        <f>C23</f>
        <v>1956.65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3" t="s">
        <v>17</v>
      </c>
      <c r="B147" s="23" t="s">
        <v>29</v>
      </c>
      <c r="C147" s="54">
        <f>C73</f>
        <v>1614.757506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3" t="s">
        <v>19</v>
      </c>
      <c r="B148" s="23" t="s">
        <v>68</v>
      </c>
      <c r="C148" s="54">
        <f>C85</f>
        <v>139.900475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3" t="s">
        <v>21</v>
      </c>
      <c r="B149" s="23" t="s">
        <v>76</v>
      </c>
      <c r="C149" s="54">
        <f>C117</f>
        <v>304.2344744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3" t="s">
        <v>23</v>
      </c>
      <c r="B150" s="23" t="s">
        <v>98</v>
      </c>
      <c r="C150" s="59">
        <f>C127</f>
        <v>45.12333333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5" t="s">
        <v>116</v>
      </c>
      <c r="B151" s="26"/>
      <c r="C151" s="54">
        <f>SUM(C146:C150)</f>
        <v>4060.665789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3" t="s">
        <v>25</v>
      </c>
      <c r="B152" s="23" t="s">
        <v>117</v>
      </c>
      <c r="C152" s="59">
        <f>D139</f>
        <v>1078.898594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5" t="s">
        <v>118</v>
      </c>
      <c r="B153" s="26"/>
      <c r="C153" s="54">
        <f>SUM(C151:C152)</f>
        <v>5139.564383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117:B117"/>
    <mergeCell ref="A120:C120"/>
    <mergeCell ref="A127:B127"/>
    <mergeCell ref="A130:C130"/>
    <mergeCell ref="A139:B139"/>
    <mergeCell ref="A143:C143"/>
    <mergeCell ref="A151:B151"/>
    <mergeCell ref="A153:B153"/>
    <mergeCell ref="A88:C88"/>
    <mergeCell ref="A89:D89"/>
    <mergeCell ref="A91:C91"/>
    <mergeCell ref="A102:B102"/>
    <mergeCell ref="A105:C105"/>
    <mergeCell ref="A109:B109"/>
    <mergeCell ref="A112:C112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8.75"/>
    <col customWidth="1" min="2" max="2" width="12.75"/>
    <col customWidth="1" min="3" max="3" width="12.25"/>
    <col customWidth="1" min="4" max="4" width="11.0"/>
    <col customWidth="1" min="5" max="26" width="7.63"/>
  </cols>
  <sheetData>
    <row r="1" ht="14.25" customHeight="1">
      <c r="A1" s="60" t="s">
        <v>167</v>
      </c>
      <c r="B1" s="61"/>
      <c r="C1" s="62" t="s">
        <v>168</v>
      </c>
      <c r="D1" s="63" t="s">
        <v>169</v>
      </c>
    </row>
    <row r="2" ht="14.25" customHeight="1">
      <c r="A2" s="64" t="s">
        <v>170</v>
      </c>
      <c r="B2" s="65"/>
      <c r="C2" s="66" t="s">
        <v>171</v>
      </c>
      <c r="D2" s="66">
        <v>30.0</v>
      </c>
    </row>
    <row r="3" ht="14.25" customHeight="1">
      <c r="C3" s="67"/>
      <c r="D3" s="68"/>
    </row>
    <row r="4" ht="14.25" customHeight="1">
      <c r="C4" s="69"/>
      <c r="D4" s="68"/>
    </row>
    <row r="5" ht="14.25" customHeight="1">
      <c r="A5" s="70" t="s">
        <v>172</v>
      </c>
      <c r="B5" s="65"/>
      <c r="C5" s="71"/>
      <c r="D5" s="68"/>
    </row>
    <row r="6" ht="14.25" customHeight="1">
      <c r="A6" s="72" t="s">
        <v>173</v>
      </c>
      <c r="B6" s="65"/>
      <c r="C6" s="73">
        <v>0.0165</v>
      </c>
      <c r="D6" s="68"/>
    </row>
    <row r="7" ht="14.25" customHeight="1">
      <c r="A7" s="72" t="s">
        <v>174</v>
      </c>
      <c r="B7" s="65"/>
      <c r="C7" s="73">
        <v>0.076</v>
      </c>
      <c r="D7" s="68"/>
    </row>
    <row r="8" ht="14.25" customHeight="1">
      <c r="A8" s="72" t="s">
        <v>175</v>
      </c>
      <c r="B8" s="65"/>
      <c r="C8" s="73">
        <v>0.048</v>
      </c>
      <c r="D8" s="68"/>
    </row>
    <row r="9" ht="14.25" customHeight="1">
      <c r="A9" s="72" t="s">
        <v>44</v>
      </c>
      <c r="B9" s="65"/>
      <c r="C9" s="74">
        <v>0.11</v>
      </c>
      <c r="D9" s="68"/>
    </row>
    <row r="10" ht="14.25" customHeight="1">
      <c r="A10" s="75" t="s">
        <v>176</v>
      </c>
      <c r="B10" s="65"/>
      <c r="C10" s="74">
        <v>0.01</v>
      </c>
      <c r="D10" s="68"/>
    </row>
    <row r="11" ht="14.25" customHeight="1">
      <c r="A11" s="75" t="s">
        <v>177</v>
      </c>
      <c r="B11" s="65"/>
      <c r="C11" s="74">
        <v>0.05</v>
      </c>
      <c r="D11" s="68"/>
    </row>
    <row r="12" ht="14.25" customHeight="1">
      <c r="A12" s="70" t="s">
        <v>169</v>
      </c>
      <c r="B12" s="65"/>
      <c r="C12" s="76">
        <f>SUM(C6:C11)</f>
        <v>0.3105</v>
      </c>
      <c r="D12" s="68"/>
    </row>
    <row r="13" ht="14.25" customHeight="1">
      <c r="A13" s="77"/>
      <c r="B13" s="77"/>
      <c r="C13" s="67"/>
      <c r="D13" s="68"/>
    </row>
    <row r="14" ht="14.25" customHeight="1">
      <c r="A14" s="77"/>
      <c r="B14" s="77"/>
      <c r="C14" s="69"/>
      <c r="D14" s="78"/>
    </row>
    <row r="15" ht="14.25" customHeight="1">
      <c r="A15" s="64" t="s">
        <v>178</v>
      </c>
      <c r="B15" s="65"/>
      <c r="C15" s="79">
        <f>C2+(C2*C12)</f>
        <v>112.36227</v>
      </c>
      <c r="D15" s="80">
        <f>D2*C15</f>
        <v>3370.8681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A8:B8"/>
    <mergeCell ref="A9:B9"/>
    <mergeCell ref="A10:B10"/>
    <mergeCell ref="A11:B11"/>
    <mergeCell ref="A12:B12"/>
    <mergeCell ref="C13:C14"/>
    <mergeCell ref="A15:B15"/>
    <mergeCell ref="A1:B1"/>
    <mergeCell ref="A2:B2"/>
    <mergeCell ref="A3:B4"/>
    <mergeCell ref="C3:C4"/>
    <mergeCell ref="A5:B5"/>
    <mergeCell ref="A6:B6"/>
    <mergeCell ref="A7:B7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88"/>
    <col customWidth="1" min="2" max="2" width="30.5"/>
    <col customWidth="1" min="3" max="3" width="17.25"/>
    <col customWidth="1" min="4" max="4" width="12.13"/>
    <col customWidth="1" min="5" max="5" width="15.0"/>
    <col customWidth="1" min="6" max="6" width="21.38"/>
    <col customWidth="1" min="7" max="7" width="19.38"/>
    <col customWidth="1" min="8" max="8" width="21.13"/>
    <col customWidth="1" min="9" max="9" width="19.25"/>
    <col customWidth="1" min="10" max="10" width="14.75"/>
    <col customWidth="1" min="11" max="11" width="16.25"/>
    <col customWidth="1" min="12" max="12" width="12.5"/>
    <col customWidth="1" min="13" max="26" width="7.63"/>
  </cols>
  <sheetData>
    <row r="1" ht="14.25" customHeight="1">
      <c r="A1" s="81" t="s">
        <v>179</v>
      </c>
      <c r="H1" s="82"/>
      <c r="I1" s="82"/>
      <c r="J1" s="82"/>
      <c r="K1" s="82"/>
      <c r="L1" s="82"/>
    </row>
    <row r="2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ht="14.25" customHeight="1">
      <c r="A3" s="83" t="s">
        <v>180</v>
      </c>
      <c r="H3" s="82"/>
      <c r="I3" s="82"/>
      <c r="J3" s="82"/>
      <c r="K3" s="82"/>
      <c r="L3" s="82"/>
    </row>
    <row r="4" ht="14.25" customHeight="1">
      <c r="A4" s="84" t="s">
        <v>181</v>
      </c>
      <c r="H4" s="82"/>
      <c r="I4" s="82"/>
      <c r="J4" s="82"/>
      <c r="K4" s="82"/>
      <c r="L4" s="82"/>
    </row>
    <row r="5" ht="14.2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ht="14.25" customHeight="1">
      <c r="A6" s="85" t="s">
        <v>182</v>
      </c>
      <c r="B6" s="86"/>
      <c r="C6" s="65"/>
      <c r="D6" s="87"/>
      <c r="E6" s="88"/>
      <c r="F6" s="89"/>
      <c r="G6" s="89"/>
      <c r="H6" s="82"/>
      <c r="I6" s="82"/>
      <c r="J6" s="82"/>
      <c r="K6" s="82"/>
      <c r="L6" s="82"/>
    </row>
    <row r="7" ht="14.25" customHeight="1">
      <c r="A7" s="85" t="s">
        <v>183</v>
      </c>
      <c r="B7" s="86"/>
      <c r="C7" s="65"/>
      <c r="D7" s="87"/>
      <c r="E7" s="88"/>
      <c r="F7" s="89"/>
      <c r="G7" s="89"/>
      <c r="H7" s="82"/>
      <c r="I7" s="82"/>
      <c r="J7" s="82"/>
      <c r="K7" s="82"/>
      <c r="L7" s="82"/>
    </row>
    <row r="8" ht="14.25" customHeight="1">
      <c r="A8" s="85" t="s">
        <v>184</v>
      </c>
      <c r="B8" s="86"/>
      <c r="C8" s="65"/>
      <c r="D8" s="87"/>
      <c r="E8" s="88"/>
      <c r="F8" s="89"/>
      <c r="G8" s="89"/>
      <c r="H8" s="82"/>
      <c r="I8" s="82"/>
      <c r="J8" s="82"/>
      <c r="K8" s="82"/>
      <c r="L8" s="82"/>
    </row>
    <row r="9" ht="14.25" customHeight="1">
      <c r="A9" s="85" t="s">
        <v>185</v>
      </c>
      <c r="B9" s="86"/>
      <c r="C9" s="65"/>
      <c r="D9" s="87"/>
      <c r="E9" s="88"/>
      <c r="F9" s="89"/>
      <c r="G9" s="89"/>
      <c r="H9" s="82"/>
      <c r="I9" s="82"/>
      <c r="J9" s="82"/>
      <c r="K9" s="82"/>
      <c r="L9" s="82"/>
    </row>
    <row r="10" ht="14.25" customHeight="1">
      <c r="A10" s="90"/>
      <c r="B10" s="90"/>
      <c r="C10" s="90"/>
      <c r="D10" s="89"/>
      <c r="E10" s="89"/>
      <c r="F10" s="89"/>
      <c r="G10" s="89"/>
      <c r="H10" s="82"/>
      <c r="I10" s="82"/>
      <c r="J10" s="82"/>
      <c r="K10" s="82"/>
      <c r="L10" s="82"/>
    </row>
    <row r="11" ht="14.25" customHeight="1">
      <c r="A11" s="91" t="s">
        <v>186</v>
      </c>
      <c r="B11" s="65"/>
      <c r="C11" s="92" t="s">
        <v>187</v>
      </c>
      <c r="D11" s="65"/>
      <c r="E11" s="82"/>
      <c r="F11" s="82"/>
      <c r="G11" s="82"/>
      <c r="H11" s="82"/>
      <c r="I11" s="82"/>
      <c r="J11" s="82"/>
      <c r="K11" s="82"/>
      <c r="L11" s="82"/>
    </row>
    <row r="12" ht="14.25" customHeight="1">
      <c r="A12" s="93" t="s">
        <v>188</v>
      </c>
      <c r="B12" s="65"/>
      <c r="C12" s="94">
        <v>800.0</v>
      </c>
      <c r="D12" s="95" t="s">
        <v>189</v>
      </c>
      <c r="E12" s="96"/>
      <c r="F12" s="82"/>
      <c r="G12" s="82"/>
      <c r="H12" s="82"/>
      <c r="I12" s="82"/>
      <c r="J12" s="82"/>
      <c r="K12" s="82"/>
      <c r="L12" s="82"/>
    </row>
    <row r="13" ht="14.25" customHeight="1">
      <c r="A13" s="93" t="s">
        <v>190</v>
      </c>
      <c r="B13" s="65"/>
      <c r="C13" s="94">
        <v>360.0</v>
      </c>
      <c r="D13" s="95" t="s">
        <v>191</v>
      </c>
      <c r="E13" s="96"/>
      <c r="F13" s="82"/>
      <c r="G13" s="82"/>
      <c r="H13" s="82"/>
      <c r="I13" s="82"/>
      <c r="J13" s="82"/>
      <c r="K13" s="82"/>
      <c r="L13" s="82"/>
    </row>
    <row r="14" ht="14.25" customHeight="1">
      <c r="A14" s="93" t="s">
        <v>192</v>
      </c>
      <c r="B14" s="65"/>
      <c r="C14" s="94">
        <v>200.0</v>
      </c>
      <c r="D14" s="95" t="s">
        <v>193</v>
      </c>
      <c r="E14" s="96"/>
      <c r="F14" s="82"/>
      <c r="G14" s="82"/>
      <c r="H14" s="82"/>
      <c r="I14" s="82"/>
      <c r="J14" s="82"/>
      <c r="K14" s="82"/>
      <c r="L14" s="82"/>
    </row>
    <row r="15" ht="14.25" customHeight="1">
      <c r="A15" s="93" t="s">
        <v>194</v>
      </c>
      <c r="B15" s="86"/>
      <c r="C15" s="94">
        <v>1000.0</v>
      </c>
      <c r="D15" s="95" t="s">
        <v>195</v>
      </c>
      <c r="E15" s="96"/>
      <c r="F15" s="82"/>
      <c r="G15" s="82"/>
      <c r="H15" s="82"/>
      <c r="I15" s="82"/>
      <c r="J15" s="82"/>
      <c r="K15" s="82"/>
      <c r="L15" s="82"/>
    </row>
    <row r="16" ht="14.25" customHeight="1">
      <c r="A16" s="93" t="s">
        <v>196</v>
      </c>
      <c r="B16" s="86"/>
      <c r="C16" s="94">
        <v>1800.0</v>
      </c>
      <c r="D16" s="95" t="s">
        <v>197</v>
      </c>
      <c r="E16" s="96"/>
      <c r="F16" s="82"/>
      <c r="G16" s="82"/>
      <c r="H16" s="82"/>
      <c r="I16" s="82"/>
      <c r="J16" s="82"/>
      <c r="K16" s="82"/>
      <c r="L16" s="82"/>
    </row>
    <row r="17" ht="14.25" customHeight="1">
      <c r="A17" s="93" t="s">
        <v>198</v>
      </c>
      <c r="B17" s="86"/>
      <c r="C17" s="94">
        <v>300.0</v>
      </c>
      <c r="D17" s="95" t="s">
        <v>199</v>
      </c>
      <c r="E17" s="96"/>
      <c r="F17" s="82"/>
      <c r="G17" s="82"/>
      <c r="H17" s="82"/>
      <c r="I17" s="82"/>
      <c r="J17" s="82"/>
      <c r="K17" s="82"/>
      <c r="L17" s="82"/>
    </row>
    <row r="18" ht="14.25" customHeight="1">
      <c r="A18" s="93" t="s">
        <v>200</v>
      </c>
      <c r="B18" s="86"/>
      <c r="C18" s="94">
        <v>300.0</v>
      </c>
      <c r="D18" s="95" t="s">
        <v>199</v>
      </c>
      <c r="E18" s="96"/>
      <c r="F18" s="82"/>
      <c r="G18" s="82"/>
      <c r="H18" s="82"/>
      <c r="I18" s="82"/>
      <c r="J18" s="82"/>
      <c r="K18" s="82"/>
      <c r="L18" s="82"/>
    </row>
    <row r="19" ht="14.25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ht="14.25" customHeight="1">
      <c r="A20" s="84" t="s">
        <v>201</v>
      </c>
      <c r="H20" s="82"/>
      <c r="I20" s="82"/>
      <c r="J20" s="82"/>
      <c r="K20" s="82"/>
      <c r="L20" s="82"/>
    </row>
    <row r="21" ht="14.2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ht="14.25" customHeight="1">
      <c r="A22" s="97" t="s">
        <v>202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ht="14.2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ht="14.25" customHeight="1">
      <c r="A24" s="98" t="s">
        <v>203</v>
      </c>
      <c r="B24" s="61"/>
      <c r="C24" s="82"/>
      <c r="D24" s="82"/>
      <c r="E24" s="82"/>
      <c r="F24" s="98" t="s">
        <v>204</v>
      </c>
      <c r="G24" s="61"/>
      <c r="H24" s="82"/>
      <c r="I24" s="82"/>
      <c r="J24" s="82"/>
      <c r="K24" s="82"/>
      <c r="L24" s="82"/>
    </row>
    <row r="25" ht="14.25" customHeight="1">
      <c r="A25" s="99" t="s">
        <v>205</v>
      </c>
      <c r="B25" s="100">
        <v>-1.0</v>
      </c>
      <c r="C25" s="101">
        <v>-2.0</v>
      </c>
      <c r="D25" s="101" t="s">
        <v>206</v>
      </c>
      <c r="E25" s="82"/>
      <c r="F25" s="99" t="s">
        <v>205</v>
      </c>
      <c r="G25" s="100">
        <v>-1.0</v>
      </c>
      <c r="H25" s="101">
        <v>-2.0</v>
      </c>
      <c r="I25" s="101" t="s">
        <v>206</v>
      </c>
      <c r="J25" s="82"/>
      <c r="K25" s="82"/>
      <c r="L25" s="82"/>
    </row>
    <row r="26" ht="14.25" customHeight="1">
      <c r="A26" s="102"/>
      <c r="B26" s="100" t="s">
        <v>207</v>
      </c>
      <c r="C26" s="100" t="s">
        <v>208</v>
      </c>
      <c r="D26" s="100" t="s">
        <v>209</v>
      </c>
      <c r="E26" s="82"/>
      <c r="F26" s="102"/>
      <c r="G26" s="100" t="s">
        <v>207</v>
      </c>
      <c r="H26" s="100" t="s">
        <v>208</v>
      </c>
      <c r="I26" s="100" t="s">
        <v>209</v>
      </c>
      <c r="J26" s="82"/>
      <c r="K26" s="82"/>
      <c r="L26" s="82"/>
    </row>
    <row r="27" ht="14.25" customHeight="1">
      <c r="A27" s="103"/>
      <c r="B27" s="104" t="s">
        <v>210</v>
      </c>
      <c r="C27" s="104" t="s">
        <v>211</v>
      </c>
      <c r="D27" s="104" t="s">
        <v>212</v>
      </c>
      <c r="E27" s="82"/>
      <c r="F27" s="103"/>
      <c r="G27" s="104" t="s">
        <v>210</v>
      </c>
      <c r="H27" s="104" t="s">
        <v>211</v>
      </c>
      <c r="I27" s="104" t="s">
        <v>212</v>
      </c>
      <c r="J27" s="82"/>
      <c r="K27" s="82"/>
      <c r="L27" s="82"/>
    </row>
    <row r="28" ht="14.25" customHeight="1">
      <c r="A28" s="105" t="s">
        <v>213</v>
      </c>
      <c r="B28" s="106">
        <f>1/(30*C12)</f>
        <v>0.00004166666667</v>
      </c>
      <c r="C28" s="107">
        <f>Encarregado!C153</f>
        <v>3375.632363</v>
      </c>
      <c r="D28" s="108">
        <f t="shared" ref="D28:D29" si="1">B28*C28</f>
        <v>0.1406513485</v>
      </c>
      <c r="E28" s="82"/>
      <c r="F28" s="105" t="s">
        <v>213</v>
      </c>
      <c r="G28" s="109">
        <f>1/(30*C13)</f>
        <v>0.00009259259259</v>
      </c>
      <c r="H28" s="107">
        <f t="shared" ref="H28:H29" si="2">C28</f>
        <v>3375.632363</v>
      </c>
      <c r="I28" s="108">
        <f t="shared" ref="I28:I29" si="3">G28*H28</f>
        <v>0.3125585521</v>
      </c>
      <c r="J28" s="82"/>
      <c r="K28" s="82"/>
      <c r="L28" s="82"/>
    </row>
    <row r="29" ht="14.25" customHeight="1">
      <c r="A29" s="110" t="s">
        <v>214</v>
      </c>
      <c r="B29" s="111">
        <f>1/C12</f>
        <v>0.00125</v>
      </c>
      <c r="C29" s="112">
        <f>'Servente de Limpeza'!C153</f>
        <v>3821.557566</v>
      </c>
      <c r="D29" s="113">
        <f t="shared" si="1"/>
        <v>4.776946957</v>
      </c>
      <c r="E29" s="82"/>
      <c r="F29" s="110" t="s">
        <v>214</v>
      </c>
      <c r="G29" s="111">
        <f>1/C13</f>
        <v>0.002777777778</v>
      </c>
      <c r="H29" s="112">
        <f t="shared" si="2"/>
        <v>3821.557566</v>
      </c>
      <c r="I29" s="108">
        <f t="shared" si="3"/>
        <v>10.61543768</v>
      </c>
      <c r="J29" s="82"/>
      <c r="K29" s="82"/>
      <c r="L29" s="82"/>
    </row>
    <row r="30" ht="14.25" customHeight="1">
      <c r="A30" s="114" t="s">
        <v>169</v>
      </c>
      <c r="B30" s="86"/>
      <c r="C30" s="65"/>
      <c r="D30" s="115">
        <f>SUM(D28:D29)</f>
        <v>4.917598306</v>
      </c>
      <c r="E30" s="82"/>
      <c r="F30" s="114" t="s">
        <v>169</v>
      </c>
      <c r="G30" s="86"/>
      <c r="H30" s="65"/>
      <c r="I30" s="115">
        <f>SUM(I28:I29)</f>
        <v>10.92799624</v>
      </c>
      <c r="J30" s="82"/>
      <c r="K30" s="82"/>
      <c r="L30" s="82"/>
    </row>
    <row r="31" ht="14.2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ht="14.25" customHeight="1">
      <c r="A32" s="98" t="s">
        <v>215</v>
      </c>
      <c r="B32" s="61"/>
      <c r="C32" s="82"/>
      <c r="D32" s="82"/>
      <c r="E32" s="82"/>
      <c r="F32" s="98" t="s">
        <v>216</v>
      </c>
      <c r="G32" s="61"/>
      <c r="H32" s="82"/>
      <c r="I32" s="82"/>
      <c r="J32" s="82"/>
      <c r="K32" s="82"/>
      <c r="L32" s="82"/>
    </row>
    <row r="33" ht="14.25" customHeight="1">
      <c r="A33" s="99" t="s">
        <v>205</v>
      </c>
      <c r="B33" s="100">
        <v>-1.0</v>
      </c>
      <c r="C33" s="101">
        <v>-2.0</v>
      </c>
      <c r="D33" s="101" t="s">
        <v>206</v>
      </c>
      <c r="E33" s="82"/>
      <c r="F33" s="99" t="s">
        <v>205</v>
      </c>
      <c r="G33" s="100">
        <v>-1.0</v>
      </c>
      <c r="H33" s="101">
        <v>-2.0</v>
      </c>
      <c r="I33" s="101" t="s">
        <v>206</v>
      </c>
      <c r="J33" s="82"/>
      <c r="K33" s="82"/>
      <c r="L33" s="82"/>
    </row>
    <row r="34" ht="14.25" customHeight="1">
      <c r="A34" s="102"/>
      <c r="B34" s="100" t="s">
        <v>207</v>
      </c>
      <c r="C34" s="100" t="s">
        <v>208</v>
      </c>
      <c r="D34" s="100" t="s">
        <v>209</v>
      </c>
      <c r="E34" s="82"/>
      <c r="F34" s="102"/>
      <c r="G34" s="100" t="s">
        <v>207</v>
      </c>
      <c r="H34" s="100" t="s">
        <v>208</v>
      </c>
      <c r="I34" s="100" t="s">
        <v>209</v>
      </c>
      <c r="J34" s="82"/>
      <c r="K34" s="82"/>
      <c r="L34" s="82"/>
    </row>
    <row r="35" ht="14.25" customHeight="1">
      <c r="A35" s="103"/>
      <c r="B35" s="104" t="s">
        <v>210</v>
      </c>
      <c r="C35" s="104" t="s">
        <v>211</v>
      </c>
      <c r="D35" s="104" t="s">
        <v>212</v>
      </c>
      <c r="E35" s="82"/>
      <c r="F35" s="103"/>
      <c r="G35" s="104" t="s">
        <v>210</v>
      </c>
      <c r="H35" s="104" t="s">
        <v>211</v>
      </c>
      <c r="I35" s="104" t="s">
        <v>212</v>
      </c>
      <c r="J35" s="82"/>
      <c r="K35" s="82"/>
      <c r="L35" s="82"/>
    </row>
    <row r="36" ht="14.25" customHeight="1">
      <c r="A36" s="105" t="s">
        <v>213</v>
      </c>
      <c r="B36" s="106">
        <f>1/(30*C14)</f>
        <v>0.0001666666667</v>
      </c>
      <c r="C36" s="107">
        <f t="shared" ref="C36:C37" si="4">C28</f>
        <v>3375.632363</v>
      </c>
      <c r="D36" s="108">
        <f t="shared" ref="D36:D37" si="5">B36*C36</f>
        <v>0.5626053939</v>
      </c>
      <c r="E36" s="82"/>
      <c r="F36" s="105" t="s">
        <v>213</v>
      </c>
      <c r="G36" s="106">
        <f>1/(30*C15)</f>
        <v>0.00003333333333</v>
      </c>
      <c r="H36" s="107">
        <f t="shared" ref="H36:H37" si="6">C28</f>
        <v>3375.632363</v>
      </c>
      <c r="I36" s="108">
        <f t="shared" ref="I36:I37" si="7">G36*H36</f>
        <v>0.1125210788</v>
      </c>
      <c r="J36" s="82"/>
      <c r="K36" s="82"/>
      <c r="L36" s="82"/>
    </row>
    <row r="37" ht="14.25" customHeight="1">
      <c r="A37" s="110" t="s">
        <v>214</v>
      </c>
      <c r="B37" s="111">
        <f>1/C14</f>
        <v>0.005</v>
      </c>
      <c r="C37" s="112">
        <f t="shared" si="4"/>
        <v>3821.557566</v>
      </c>
      <c r="D37" s="108">
        <f t="shared" si="5"/>
        <v>19.10778783</v>
      </c>
      <c r="E37" s="82"/>
      <c r="F37" s="110" t="s">
        <v>214</v>
      </c>
      <c r="G37" s="111">
        <f>1/C15</f>
        <v>0.001</v>
      </c>
      <c r="H37" s="112">
        <f t="shared" si="6"/>
        <v>3821.557566</v>
      </c>
      <c r="I37" s="108">
        <f t="shared" si="7"/>
        <v>3.821557566</v>
      </c>
      <c r="J37" s="82"/>
      <c r="K37" s="82"/>
      <c r="L37" s="82"/>
    </row>
    <row r="38" ht="14.25" customHeight="1">
      <c r="A38" s="114" t="s">
        <v>169</v>
      </c>
      <c r="B38" s="86"/>
      <c r="C38" s="65"/>
      <c r="D38" s="115">
        <f>SUM(D36:D37)</f>
        <v>19.67039322</v>
      </c>
      <c r="E38" s="82"/>
      <c r="F38" s="114" t="s">
        <v>169</v>
      </c>
      <c r="G38" s="86"/>
      <c r="H38" s="65"/>
      <c r="I38" s="115">
        <f>SUM(I36:I37)</f>
        <v>3.934078645</v>
      </c>
      <c r="J38" s="82"/>
      <c r="K38" s="82"/>
      <c r="L38" s="82"/>
    </row>
    <row r="39" ht="14.2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ht="14.25" customHeight="1">
      <c r="A40" s="98" t="s">
        <v>217</v>
      </c>
      <c r="B40" s="61"/>
      <c r="C40" s="82"/>
      <c r="D40" s="82"/>
      <c r="E40" s="82"/>
      <c r="F40" s="98" t="s">
        <v>218</v>
      </c>
      <c r="G40" s="61"/>
      <c r="H40" s="82"/>
      <c r="I40" s="82"/>
      <c r="J40" s="82"/>
      <c r="K40" s="82"/>
      <c r="L40" s="82"/>
    </row>
    <row r="41" ht="14.25" customHeight="1">
      <c r="A41" s="99" t="s">
        <v>205</v>
      </c>
      <c r="B41" s="100">
        <v>-1.0</v>
      </c>
      <c r="C41" s="101">
        <v>-2.0</v>
      </c>
      <c r="D41" s="101" t="s">
        <v>206</v>
      </c>
      <c r="E41" s="82"/>
      <c r="F41" s="116" t="s">
        <v>205</v>
      </c>
      <c r="G41" s="117">
        <v>-1.0</v>
      </c>
      <c r="H41" s="118">
        <v>-2.0</v>
      </c>
      <c r="I41" s="118">
        <v>-3.0</v>
      </c>
      <c r="J41" s="118">
        <v>-4.0</v>
      </c>
      <c r="K41" s="118">
        <v>-5.0</v>
      </c>
      <c r="L41" s="118" t="s">
        <v>219</v>
      </c>
    </row>
    <row r="42" ht="14.25" customHeight="1">
      <c r="A42" s="102"/>
      <c r="B42" s="100" t="s">
        <v>207</v>
      </c>
      <c r="C42" s="100" t="s">
        <v>208</v>
      </c>
      <c r="D42" s="100" t="s">
        <v>209</v>
      </c>
      <c r="E42" s="82"/>
      <c r="F42" s="102"/>
      <c r="G42" s="117" t="s">
        <v>207</v>
      </c>
      <c r="H42" s="119" t="s">
        <v>220</v>
      </c>
      <c r="I42" s="119" t="s">
        <v>221</v>
      </c>
      <c r="J42" s="117" t="s">
        <v>222</v>
      </c>
      <c r="K42" s="117" t="s">
        <v>208</v>
      </c>
      <c r="L42" s="117" t="s">
        <v>209</v>
      </c>
    </row>
    <row r="43" ht="19.5" customHeight="1">
      <c r="A43" s="103"/>
      <c r="B43" s="104" t="s">
        <v>210</v>
      </c>
      <c r="C43" s="104" t="s">
        <v>211</v>
      </c>
      <c r="D43" s="104" t="s">
        <v>212</v>
      </c>
      <c r="E43" s="82"/>
      <c r="F43" s="103"/>
      <c r="G43" s="120" t="s">
        <v>210</v>
      </c>
      <c r="H43" s="88"/>
      <c r="I43" s="88"/>
      <c r="J43" s="121"/>
      <c r="K43" s="120" t="s">
        <v>211</v>
      </c>
      <c r="L43" s="120" t="s">
        <v>212</v>
      </c>
    </row>
    <row r="44" ht="14.25" customHeight="1">
      <c r="A44" s="105" t="s">
        <v>213</v>
      </c>
      <c r="B44" s="106">
        <f>1/(30*C16)</f>
        <v>0.00001851851852</v>
      </c>
      <c r="C44" s="107">
        <f t="shared" ref="C44:C45" si="8">C28</f>
        <v>3375.632363</v>
      </c>
      <c r="D44" s="108">
        <f t="shared" ref="D44:D45" si="9">C44*B44</f>
        <v>0.06251171043</v>
      </c>
      <c r="E44" s="82"/>
      <c r="F44" s="105" t="s">
        <v>213</v>
      </c>
      <c r="G44" s="122">
        <f>1/(30*C17)</f>
        <v>0.0001111111111</v>
      </c>
      <c r="H44" s="122">
        <v>16.0</v>
      </c>
      <c r="I44" s="122">
        <v>0.00529773</v>
      </c>
      <c r="J44" s="122">
        <v>9.4E-6</v>
      </c>
      <c r="K44" s="107">
        <f t="shared" ref="K44:K45" si="10">C28</f>
        <v>3375.632363</v>
      </c>
      <c r="L44" s="108">
        <f t="shared" ref="L44:L45" si="11">J44*K44</f>
        <v>0.03173094421</v>
      </c>
    </row>
    <row r="45" ht="14.25" customHeight="1">
      <c r="A45" s="110" t="s">
        <v>214</v>
      </c>
      <c r="B45" s="111">
        <f>1/C16</f>
        <v>0.0005555555556</v>
      </c>
      <c r="C45" s="112">
        <f t="shared" si="8"/>
        <v>3821.557566</v>
      </c>
      <c r="D45" s="108">
        <f t="shared" si="9"/>
        <v>2.123087537</v>
      </c>
      <c r="E45" s="82"/>
      <c r="F45" s="110" t="s">
        <v>214</v>
      </c>
      <c r="G45" s="111">
        <f>1/C17</f>
        <v>0.003333333333</v>
      </c>
      <c r="H45" s="111">
        <v>16.0</v>
      </c>
      <c r="I45" s="111">
        <v>0.00529773</v>
      </c>
      <c r="J45" s="111">
        <v>2.825E-4</v>
      </c>
      <c r="K45" s="112">
        <f t="shared" si="10"/>
        <v>3821.557566</v>
      </c>
      <c r="L45" s="113">
        <f t="shared" si="11"/>
        <v>1.079590012</v>
      </c>
    </row>
    <row r="46" ht="14.25" customHeight="1">
      <c r="A46" s="114" t="s">
        <v>169</v>
      </c>
      <c r="B46" s="86"/>
      <c r="C46" s="65"/>
      <c r="D46" s="115">
        <f>SUM(D44:D45)</f>
        <v>2.185599247</v>
      </c>
      <c r="E46" s="82"/>
      <c r="F46" s="114" t="s">
        <v>169</v>
      </c>
      <c r="G46" s="86"/>
      <c r="H46" s="86"/>
      <c r="I46" s="123"/>
      <c r="J46" s="123"/>
      <c r="K46" s="123"/>
      <c r="L46" s="115">
        <f>SUM(L44:L45)</f>
        <v>1.111320957</v>
      </c>
    </row>
    <row r="47" ht="14.2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</row>
    <row r="48" ht="14.25" customHeight="1">
      <c r="A48" s="82"/>
      <c r="B48" s="82"/>
      <c r="C48" s="82"/>
      <c r="D48" s="82"/>
      <c r="E48" s="82"/>
      <c r="F48" s="98" t="s">
        <v>223</v>
      </c>
      <c r="G48" s="61"/>
      <c r="H48" s="82"/>
      <c r="I48" s="82"/>
      <c r="J48" s="82"/>
      <c r="K48" s="82"/>
      <c r="L48" s="82"/>
    </row>
    <row r="49" ht="14.25" customHeight="1">
      <c r="A49" s="124"/>
      <c r="B49" s="124"/>
      <c r="C49" s="124"/>
      <c r="D49" s="124"/>
      <c r="E49" s="82"/>
      <c r="F49" s="116" t="s">
        <v>205</v>
      </c>
      <c r="G49" s="117">
        <v>-1.0</v>
      </c>
      <c r="H49" s="118">
        <v>-2.0</v>
      </c>
      <c r="I49" s="118">
        <v>-3.0</v>
      </c>
      <c r="J49" s="118">
        <v>-4.0</v>
      </c>
      <c r="K49" s="118">
        <v>-5.0</v>
      </c>
      <c r="L49" s="118" t="s">
        <v>219</v>
      </c>
    </row>
    <row r="50" ht="14.25" customHeight="1">
      <c r="B50" s="124"/>
      <c r="C50" s="124"/>
      <c r="D50" s="124"/>
      <c r="E50" s="82"/>
      <c r="F50" s="102"/>
      <c r="G50" s="117" t="s">
        <v>207</v>
      </c>
      <c r="H50" s="119" t="s">
        <v>220</v>
      </c>
      <c r="I50" s="119" t="s">
        <v>221</v>
      </c>
      <c r="J50" s="117" t="s">
        <v>222</v>
      </c>
      <c r="K50" s="117" t="s">
        <v>208</v>
      </c>
      <c r="L50" s="117" t="s">
        <v>209</v>
      </c>
    </row>
    <row r="51" ht="18.75" customHeight="1">
      <c r="B51" s="124"/>
      <c r="C51" s="124"/>
      <c r="D51" s="124"/>
      <c r="E51" s="82"/>
      <c r="F51" s="103"/>
      <c r="G51" s="120" t="s">
        <v>210</v>
      </c>
      <c r="H51" s="88"/>
      <c r="I51" s="88"/>
      <c r="J51" s="121"/>
      <c r="K51" s="120" t="s">
        <v>211</v>
      </c>
      <c r="L51" s="120" t="s">
        <v>212</v>
      </c>
    </row>
    <row r="52" ht="15.0" customHeight="1">
      <c r="A52" s="125"/>
      <c r="B52" s="126"/>
      <c r="C52" s="126"/>
      <c r="D52" s="96"/>
      <c r="E52" s="82"/>
      <c r="F52" s="105" t="s">
        <v>213</v>
      </c>
      <c r="G52" s="122">
        <f>1/(30*C18)</f>
        <v>0.0001111111111</v>
      </c>
      <c r="H52" s="122">
        <v>16.0</v>
      </c>
      <c r="I52" s="122">
        <v>0.00529773</v>
      </c>
      <c r="J52" s="122">
        <v>9.4E-6</v>
      </c>
      <c r="K52" s="107">
        <f t="shared" ref="K52:K53" si="12">K44</f>
        <v>3375.632363</v>
      </c>
      <c r="L52" s="108">
        <f t="shared" ref="L52:L53" si="13">J52*K52</f>
        <v>0.03173094421</v>
      </c>
    </row>
    <row r="53" ht="14.25" customHeight="1">
      <c r="A53" s="125"/>
      <c r="B53" s="126"/>
      <c r="C53" s="126"/>
      <c r="D53" s="96"/>
      <c r="E53" s="82"/>
      <c r="F53" s="110" t="s">
        <v>214</v>
      </c>
      <c r="G53" s="111">
        <f>1/C18</f>
        <v>0.003333333333</v>
      </c>
      <c r="H53" s="111">
        <v>16.0</v>
      </c>
      <c r="I53" s="111">
        <v>0.00529773</v>
      </c>
      <c r="J53" s="111">
        <v>2.825E-4</v>
      </c>
      <c r="K53" s="112">
        <f t="shared" si="12"/>
        <v>3821.557566</v>
      </c>
      <c r="L53" s="108">
        <f t="shared" si="13"/>
        <v>1.079590012</v>
      </c>
    </row>
    <row r="54" ht="14.25" customHeight="1">
      <c r="D54" s="96"/>
      <c r="E54" s="82"/>
      <c r="F54" s="114" t="s">
        <v>169</v>
      </c>
      <c r="G54" s="86"/>
      <c r="H54" s="86"/>
      <c r="I54" s="123"/>
      <c r="J54" s="123"/>
      <c r="K54" s="123"/>
      <c r="L54" s="115">
        <f>SUM(L52:L53)</f>
        <v>1.111320957</v>
      </c>
    </row>
    <row r="55" ht="14.2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</row>
    <row r="56" ht="14.25" customHeight="1">
      <c r="A56" s="127" t="s">
        <v>224</v>
      </c>
      <c r="H56" s="82"/>
      <c r="I56" s="82"/>
      <c r="J56" s="82"/>
      <c r="K56" s="82"/>
      <c r="L56" s="82"/>
    </row>
    <row r="57" ht="14.2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ht="14.25" customHeight="1">
      <c r="A58" s="128" t="s">
        <v>225</v>
      </c>
      <c r="G58" s="82"/>
      <c r="H58" s="82"/>
      <c r="I58" s="82"/>
      <c r="J58" s="82"/>
      <c r="K58" s="82"/>
      <c r="L58" s="82"/>
    </row>
    <row r="59" ht="14.25" customHeight="1">
      <c r="A59" s="129" t="s">
        <v>226</v>
      </c>
      <c r="B59" s="101" t="s">
        <v>227</v>
      </c>
      <c r="C59" s="101" t="s">
        <v>228</v>
      </c>
      <c r="D59" s="130" t="s">
        <v>209</v>
      </c>
      <c r="E59" s="131" t="s">
        <v>229</v>
      </c>
      <c r="F59" s="132" t="s">
        <v>230</v>
      </c>
      <c r="G59" s="133"/>
      <c r="H59" s="134" t="s">
        <v>231</v>
      </c>
      <c r="I59" s="86"/>
      <c r="J59" s="86"/>
      <c r="K59" s="86"/>
      <c r="L59" s="65"/>
    </row>
    <row r="60" ht="14.25" customHeight="1">
      <c r="A60" s="103"/>
      <c r="B60" s="104" t="s">
        <v>232</v>
      </c>
      <c r="C60" s="104" t="s">
        <v>233</v>
      </c>
      <c r="D60" s="135" t="s">
        <v>211</v>
      </c>
      <c r="E60" s="136" t="s">
        <v>211</v>
      </c>
      <c r="F60" s="137"/>
      <c r="G60" s="133"/>
      <c r="H60" s="138" t="s">
        <v>234</v>
      </c>
      <c r="I60" s="139" t="s">
        <v>235</v>
      </c>
      <c r="J60" s="139" t="s">
        <v>236</v>
      </c>
      <c r="K60" s="139" t="s">
        <v>237</v>
      </c>
      <c r="L60" s="139" t="s">
        <v>238</v>
      </c>
    </row>
    <row r="61" ht="14.25" customHeight="1">
      <c r="A61" s="140" t="s">
        <v>239</v>
      </c>
      <c r="B61" s="141">
        <f>D30</f>
        <v>4.917598306</v>
      </c>
      <c r="C61" s="142">
        <v>4143.0</v>
      </c>
      <c r="D61" s="143">
        <f t="shared" ref="D61:D67" si="14">B61*C61</f>
        <v>20373.60978</v>
      </c>
      <c r="E61" s="144">
        <f t="shared" ref="E61:E67" si="15">D61*12</f>
        <v>244483.3174</v>
      </c>
      <c r="F61" s="145">
        <f t="shared" ref="F61:F65" si="16">C61/C12</f>
        <v>5.17875</v>
      </c>
      <c r="G61" s="82"/>
      <c r="H61" s="146">
        <f>C66</f>
        <v>735</v>
      </c>
      <c r="I61" s="146">
        <f>C17</f>
        <v>300</v>
      </c>
      <c r="J61" s="147">
        <v>16.0</v>
      </c>
      <c r="K61" s="147">
        <v>188.76</v>
      </c>
      <c r="L61" s="148">
        <f>(H61/I61)*(J61/K61)</f>
        <v>0.2076711168</v>
      </c>
    </row>
    <row r="62" ht="14.25" customHeight="1">
      <c r="A62" s="140" t="s">
        <v>240</v>
      </c>
      <c r="B62" s="141">
        <f>I30</f>
        <v>10.92799624</v>
      </c>
      <c r="C62" s="142">
        <v>112.5</v>
      </c>
      <c r="D62" s="143">
        <f t="shared" si="14"/>
        <v>1229.399576</v>
      </c>
      <c r="E62" s="144">
        <f t="shared" si="15"/>
        <v>14752.79492</v>
      </c>
      <c r="F62" s="145">
        <f t="shared" si="16"/>
        <v>0.3125</v>
      </c>
      <c r="G62" s="82"/>
      <c r="H62" s="82"/>
      <c r="I62" s="82"/>
      <c r="J62" s="82"/>
      <c r="K62" s="82"/>
      <c r="L62" s="82"/>
    </row>
    <row r="63" ht="14.25" customHeight="1">
      <c r="A63" s="140" t="s">
        <v>241</v>
      </c>
      <c r="B63" s="141">
        <f>D38</f>
        <v>19.67039322</v>
      </c>
      <c r="C63" s="142">
        <v>285.0</v>
      </c>
      <c r="D63" s="143">
        <f t="shared" si="14"/>
        <v>5606.062069</v>
      </c>
      <c r="E63" s="144">
        <f t="shared" si="15"/>
        <v>67272.74482</v>
      </c>
      <c r="F63" s="145">
        <f t="shared" si="16"/>
        <v>1.425</v>
      </c>
      <c r="G63" s="82"/>
      <c r="H63" s="82"/>
      <c r="I63" s="82"/>
      <c r="J63" s="82"/>
      <c r="K63" s="82"/>
      <c r="L63" s="82"/>
    </row>
    <row r="64" ht="14.25" customHeight="1">
      <c r="A64" s="140" t="s">
        <v>242</v>
      </c>
      <c r="B64" s="141">
        <f>I38</f>
        <v>3.934078645</v>
      </c>
      <c r="C64" s="142">
        <v>461.25</v>
      </c>
      <c r="D64" s="143">
        <f t="shared" si="14"/>
        <v>1814.593775</v>
      </c>
      <c r="E64" s="144">
        <f t="shared" si="15"/>
        <v>21775.1253</v>
      </c>
      <c r="F64" s="145">
        <f t="shared" si="16"/>
        <v>0.46125</v>
      </c>
      <c r="G64" s="82"/>
      <c r="H64" s="82"/>
      <c r="I64" s="82"/>
      <c r="J64" s="82"/>
      <c r="K64" s="82"/>
      <c r="L64" s="82"/>
    </row>
    <row r="65" ht="14.25" customHeight="1">
      <c r="A65" s="140" t="s">
        <v>243</v>
      </c>
      <c r="B65" s="141">
        <f>D46</f>
        <v>2.185599247</v>
      </c>
      <c r="C65" s="142">
        <v>4725.0</v>
      </c>
      <c r="D65" s="143">
        <f t="shared" si="14"/>
        <v>10326.95644</v>
      </c>
      <c r="E65" s="144">
        <f t="shared" si="15"/>
        <v>123923.4773</v>
      </c>
      <c r="F65" s="145">
        <f t="shared" si="16"/>
        <v>2.625</v>
      </c>
      <c r="G65" s="82"/>
      <c r="H65" s="82"/>
      <c r="I65" s="82"/>
      <c r="J65" s="82"/>
      <c r="K65" s="82"/>
      <c r="L65" s="82"/>
    </row>
    <row r="66" ht="14.25" customHeight="1">
      <c r="A66" s="140" t="s">
        <v>244</v>
      </c>
      <c r="B66" s="141">
        <f>L46</f>
        <v>1.111320957</v>
      </c>
      <c r="C66" s="142">
        <v>735.0</v>
      </c>
      <c r="D66" s="143">
        <f t="shared" si="14"/>
        <v>816.8209031</v>
      </c>
      <c r="E66" s="144">
        <f t="shared" si="15"/>
        <v>9801.850837</v>
      </c>
      <c r="F66" s="145">
        <f>L61</f>
        <v>0.2076711168</v>
      </c>
      <c r="G66" s="82"/>
      <c r="H66" s="82"/>
      <c r="I66" s="82"/>
      <c r="J66" s="82"/>
      <c r="K66" s="82"/>
      <c r="L66" s="82"/>
    </row>
    <row r="67" ht="14.25" customHeight="1">
      <c r="A67" s="149" t="s">
        <v>245</v>
      </c>
      <c r="B67" s="143">
        <f>L54</f>
        <v>1.111320957</v>
      </c>
      <c r="C67" s="142">
        <v>735.0</v>
      </c>
      <c r="D67" s="143">
        <f t="shared" si="14"/>
        <v>816.8209031</v>
      </c>
      <c r="E67" s="144">
        <f t="shared" si="15"/>
        <v>9801.850837</v>
      </c>
      <c r="F67" s="145">
        <f>L61</f>
        <v>0.2076711168</v>
      </c>
      <c r="G67" s="82"/>
      <c r="H67" s="82"/>
      <c r="I67" s="82"/>
      <c r="J67" s="82"/>
      <c r="K67" s="82"/>
      <c r="L67" s="82"/>
    </row>
    <row r="68" ht="14.25" customHeight="1">
      <c r="A68" s="114" t="s">
        <v>246</v>
      </c>
      <c r="B68" s="86"/>
      <c r="C68" s="65"/>
      <c r="D68" s="150">
        <f>SUM(D61:D67)</f>
        <v>40984.26345</v>
      </c>
      <c r="E68" s="82"/>
      <c r="F68" s="151"/>
      <c r="G68" s="82"/>
      <c r="H68" s="82"/>
      <c r="I68" s="82"/>
      <c r="J68" s="82"/>
      <c r="K68" s="82"/>
      <c r="L68" s="82"/>
    </row>
    <row r="69" ht="14.25" customHeight="1">
      <c r="A69" s="82"/>
      <c r="B69" s="82"/>
      <c r="C69" s="82"/>
      <c r="D69" s="82"/>
      <c r="E69" s="82"/>
      <c r="F69" s="151"/>
      <c r="G69" s="82"/>
      <c r="H69" s="82"/>
      <c r="I69" s="82"/>
      <c r="J69" s="82"/>
      <c r="K69" s="82"/>
      <c r="L69" s="82"/>
    </row>
    <row r="70" ht="14.25" customHeight="1">
      <c r="A70" s="152" t="s">
        <v>247</v>
      </c>
      <c r="B70" s="86"/>
      <c r="C70" s="65"/>
      <c r="D70" s="153"/>
      <c r="E70" s="154">
        <f t="shared" ref="E70:F70" si="17">SUM(E61:E67)</f>
        <v>491811.1614</v>
      </c>
      <c r="F70" s="155">
        <f t="shared" si="17"/>
        <v>10.41784223</v>
      </c>
      <c r="G70" s="82"/>
      <c r="H70" s="82"/>
      <c r="I70" s="82"/>
      <c r="J70" s="82"/>
      <c r="K70" s="82"/>
      <c r="L70" s="82"/>
    </row>
    <row r="71" ht="14.2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</row>
    <row r="72" ht="14.2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</row>
    <row r="73" ht="14.2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</row>
    <row r="74" ht="14.25" customHeight="1">
      <c r="A74" s="9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</row>
    <row r="75" ht="14.25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</row>
    <row r="76" ht="14.2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</row>
    <row r="77" ht="14.25" customHeight="1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</row>
    <row r="78" ht="14.25" customHeight="1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</row>
    <row r="79" ht="14.25" customHeight="1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</row>
    <row r="80" ht="14.25" customHeight="1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</row>
    <row r="81" ht="14.25" customHeight="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</row>
    <row r="82" ht="14.25" customHeight="1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</row>
    <row r="83" ht="14.25" customHeight="1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</row>
    <row r="84" ht="14.25" customHeight="1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</row>
    <row r="85" ht="14.25" customHeight="1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</row>
    <row r="86" ht="14.25" customHeight="1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ht="14.25" customHeight="1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ht="14.25" customHeight="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ht="14.25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ht="14.25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</row>
    <row r="91" ht="14.25" customHeight="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</row>
    <row r="92" ht="14.25" customHeight="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</row>
    <row r="93" ht="14.25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ht="14.25" customHeight="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</row>
    <row r="95" ht="14.25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</row>
    <row r="96" ht="14.25" customHeight="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</row>
    <row r="97" ht="14.25" customHeight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ht="14.25" customHeight="1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ht="14.25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ht="14.25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ht="14.25" customHeight="1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ht="14.25" customHeight="1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</row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5">
    <mergeCell ref="A1:G1"/>
    <mergeCell ref="A3:G3"/>
    <mergeCell ref="A4:G4"/>
    <mergeCell ref="A6:C6"/>
    <mergeCell ref="D6:E6"/>
    <mergeCell ref="A7:C7"/>
    <mergeCell ref="D7:E7"/>
    <mergeCell ref="A8:C8"/>
    <mergeCell ref="D8:E8"/>
    <mergeCell ref="A9:C9"/>
    <mergeCell ref="D9:E9"/>
    <mergeCell ref="A11:B11"/>
    <mergeCell ref="C11:D11"/>
    <mergeCell ref="A12:B12"/>
    <mergeCell ref="A13:B13"/>
    <mergeCell ref="A14:B14"/>
    <mergeCell ref="A15:B15"/>
    <mergeCell ref="A16:B16"/>
    <mergeCell ref="A17:B17"/>
    <mergeCell ref="A18:B18"/>
    <mergeCell ref="A20:G20"/>
    <mergeCell ref="A22:B22"/>
    <mergeCell ref="A24:B24"/>
    <mergeCell ref="F24:G24"/>
    <mergeCell ref="A25:A27"/>
    <mergeCell ref="F25:F27"/>
    <mergeCell ref="A30:C30"/>
    <mergeCell ref="F30:H30"/>
    <mergeCell ref="A32:B32"/>
    <mergeCell ref="F32:G32"/>
    <mergeCell ref="A33:A35"/>
    <mergeCell ref="F33:F35"/>
    <mergeCell ref="A38:C38"/>
    <mergeCell ref="F38:H38"/>
    <mergeCell ref="F40:G40"/>
    <mergeCell ref="A41:A43"/>
    <mergeCell ref="A49:A51"/>
    <mergeCell ref="A54:C54"/>
    <mergeCell ref="A68:C68"/>
    <mergeCell ref="A70:C70"/>
    <mergeCell ref="F49:F51"/>
    <mergeCell ref="H50:H51"/>
    <mergeCell ref="I50:I51"/>
    <mergeCell ref="F54:H54"/>
    <mergeCell ref="A56:G56"/>
    <mergeCell ref="A58:F58"/>
    <mergeCell ref="A59:A60"/>
    <mergeCell ref="H59:L59"/>
    <mergeCell ref="A40:B40"/>
    <mergeCell ref="F41:F43"/>
    <mergeCell ref="H42:H43"/>
    <mergeCell ref="I42:I43"/>
    <mergeCell ref="A46:C46"/>
    <mergeCell ref="F46:H46"/>
    <mergeCell ref="F48:G48"/>
  </mergeCells>
  <printOptions/>
  <pageMargins bottom="0.787401575" footer="0.0" header="0.0" left="0.511811024" right="0.44573082489146165" top="0.787401575"/>
  <pageSetup orientation="landscape"/>
  <drawing r:id="rId1"/>
</worksheet>
</file>