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gilante Fiscal Desarmado Diur" sheetId="1" r:id="rId4"/>
    <sheet state="visible" name="Vigilante Desarmado Diurno 12x3" sheetId="2" r:id="rId5"/>
    <sheet state="visible" name="Vigilante Fiscal Armado Noturno" sheetId="3" r:id="rId6"/>
    <sheet state="visible" name="Vigilante Desarmado Noturno 12x" sheetId="4" r:id="rId7"/>
    <sheet state="visible" name="Vigilante Armado Noturno 12x36" sheetId="5" r:id="rId8"/>
    <sheet state="visible" name="Uniformes" sheetId="6" r:id="rId9"/>
    <sheet state="visible" name="Utensílios e materiais" sheetId="7" r:id="rId10"/>
    <sheet state="visible" name="Equipamentos" sheetId="8" r:id="rId11"/>
    <sheet state="visible" name="Valor Total" sheetId="9" r:id="rId12"/>
  </sheets>
  <definedNames/>
  <calcPr/>
  <extLst>
    <ext uri="GoogleSheetsCustomDataVersion1">
      <go:sheetsCustomData xmlns:go="http://customooxmlschemas.google.com/" r:id="rId13" roundtripDataSignature="AMtx7mgS/+pdblrF77rFSsg1w0OBdk5c8g=="/>
    </ext>
  </extLst>
</workbook>
</file>

<file path=xl/sharedStrings.xml><?xml version="1.0" encoding="utf-8"?>
<sst xmlns="http://schemas.openxmlformats.org/spreadsheetml/2006/main" count="1249" uniqueCount="196">
  <si>
    <t>1. MÓDULOS</t>
  </si>
  <si>
    <t>Dados para composição dos custos referentes à mão de obra</t>
  </si>
  <si>
    <t>Tipo de serviço (mesmo serviço com características distintas)</t>
  </si>
  <si>
    <t>Serviço de vigilância patrimonial</t>
  </si>
  <si>
    <t>Classificação Brasileira de Ocupações (CBO)</t>
  </si>
  <si>
    <t>5173-30</t>
  </si>
  <si>
    <t>Salário Normativo da Categoria Profissional</t>
  </si>
  <si>
    <t>Categoria Profissional (vinculada à execução contratual)</t>
  </si>
  <si>
    <t>Vigilante - Fiscal Desarmado Diurno</t>
  </si>
  <si>
    <t>Data-Base da Categoria (dia/mês/ano)</t>
  </si>
  <si>
    <t>2021/2023</t>
  </si>
  <si>
    <t>Número de Registro da Convenção Coletiva</t>
  </si>
  <si>
    <t>BA000279/2022</t>
  </si>
  <si>
    <t>Módulo 1 –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</si>
  <si>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</si>
  <si>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</si>
  <si>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</si>
  <si>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</si>
  <si>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</si>
  <si>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</si>
  <si>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</si>
  <si>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</si>
  <si>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-</t>
  </si>
  <si>
    <t>D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</si>
  <si>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</si>
  <si>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</si>
  <si>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</si>
  <si>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</si>
  <si>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</si>
  <si>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</si>
  <si>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Gratificação de Vigilante Fiscal</t>
  </si>
  <si>
    <t>H</t>
  </si>
  <si>
    <t>Prêmio do Trabalho Noturno</t>
  </si>
  <si>
    <t>I</t>
  </si>
  <si>
    <t>Prêmio de Boa Permanência Nível III</t>
  </si>
  <si>
    <t>J</t>
  </si>
  <si>
    <t>Prêmio de Férias</t>
  </si>
  <si>
    <t>K</t>
  </si>
  <si>
    <t>Dia do Vigilante</t>
  </si>
  <si>
    <t>Total</t>
  </si>
  <si>
    <t>Será concedida folga compensatória noutro dia da semana, correspondente as horas efetivamente trabalhadas a que se referem o parágrafo segundo da Cláusula Vigèsima Primeira da CCT BA000279/2022.</t>
  </si>
  <si>
    <t>Módulo 2 – Encargos e Benefícios Anuais, Mensais e Diários</t>
  </si>
  <si>
    <t>Submódulo 2.1 – 13º (décimo terceiro) Salário, Férias e Adicional de Férias</t>
  </si>
  <si>
    <t>Base de  Cálculo</t>
  </si>
  <si>
    <t>2.1</t>
  </si>
  <si>
    <t>13º (décimo terceiro) Salário, Férias e Adicional de Férias</t>
  </si>
  <si>
    <t>13º (décimo terceiro) Salário</t>
  </si>
  <si>
    <t>Férias</t>
  </si>
  <si>
    <t>Submódulo 2.2 – Encargos previdenciários (GPS), Fundo de Garantia por Tempo de Serviço (FGTS) e outras contribuições</t>
  </si>
  <si>
    <t>2.2</t>
  </si>
  <si>
    <t>GPS, FGTS e outras contribuições</t>
  </si>
  <si>
    <t>Lucros Real e Presumido Percentual (%)</t>
  </si>
  <si>
    <t>Base de Cálculo</t>
  </si>
  <si>
    <t>INSS</t>
  </si>
  <si>
    <t>Salário Educação</t>
  </si>
  <si>
    <t>SAT</t>
  </si>
  <si>
    <t>SESC ou SESI</t>
  </si>
  <si>
    <t>SENAI – SENAC</t>
  </si>
  <si>
    <t>SEBRAE</t>
  </si>
  <si>
    <t>INCRA</t>
  </si>
  <si>
    <t>FGTS</t>
  </si>
  <si>
    <t>Submódulo 2.3 – Benefícios Mensais e Diários</t>
  </si>
  <si>
    <t>2.3</t>
  </si>
  <si>
    <t>Benefícios Mensais e Diários</t>
  </si>
  <si>
    <t>TRANSPORTE</t>
  </si>
  <si>
    <t>Transporte</t>
  </si>
  <si>
    <t>Valor unitário do vale-transporte</t>
  </si>
  <si>
    <t>Auxílio-Alimentação</t>
  </si>
  <si>
    <t>REFEIÇÃO/ALIMENTAÇÃO</t>
  </si>
  <si>
    <t>Cesta Básica</t>
  </si>
  <si>
    <t>Valor unitário do vale-refeição</t>
  </si>
  <si>
    <t>Plano de Saúde</t>
  </si>
  <si>
    <t>Auxílio Funeral</t>
  </si>
  <si>
    <t>Quadro-Resumo do Módulo 2 – Encargos e Benefícios anuais, mensais e diários</t>
  </si>
  <si>
    <t>Encargos e Benefícios Anuais, Mensais e Diários</t>
  </si>
  <si>
    <t>Módulo 3 – Provisão para Rescisão</t>
  </si>
  <si>
    <t>Submódulo 3.1 – Aviso Prévio Indenizado</t>
  </si>
  <si>
    <t>3.1</t>
  </si>
  <si>
    <t>Aviso Prévio Indenizado</t>
  </si>
  <si>
    <t>Incidência do FGTS sobre o Aviso Prévio Indenizado</t>
  </si>
  <si>
    <t>Multa do FGTS e contribuição social sobre o Aviso Prévio Indenizado</t>
  </si>
  <si>
    <t>Submódulo 3.2 – Aviso Prévio Trabalhado</t>
  </si>
  <si>
    <t>3.2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</si>
  <si>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</si>
  <si>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</si>
  <si>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</si>
  <si>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O percentual a título de aviso prévio trabalhado a que se refere o submódulo 3.2A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</si>
  <si>
    <t>Quadro-Resumo do Módulo 3 – Provisão para Rescisão</t>
  </si>
  <si>
    <t>Provisão para Rescisão</t>
  </si>
  <si>
    <t>Módulo 4 – Custo de Reposição do Profissional Ausente</t>
  </si>
  <si>
    <t>Submódulo 4.1 – Ausências Legais</t>
  </si>
  <si>
    <t>4.1</t>
  </si>
  <si>
    <t>Ausências Legais</t>
  </si>
  <si>
    <t>Ausência Justificada</t>
  </si>
  <si>
    <t>Curso de reciclagem</t>
  </si>
  <si>
    <t>Acidente de Trabalho</t>
  </si>
  <si>
    <t>Afastamento por Doença</t>
  </si>
  <si>
    <t>Consulta Média Filho</t>
  </si>
  <si>
    <t>Óbitos na Família</t>
  </si>
  <si>
    <t>Casamento</t>
  </si>
  <si>
    <t>Doação de Sangue</t>
  </si>
  <si>
    <t>Testemunho</t>
  </si>
  <si>
    <t>Paternidade</t>
  </si>
  <si>
    <t>L</t>
  </si>
  <si>
    <t>Maternidade</t>
  </si>
  <si>
    <t>M</t>
  </si>
  <si>
    <t>Consulta Pré-Natal</t>
  </si>
  <si>
    <t>Submódulo 4.2 – Reposição do Profissional no Intervalo para Repouso e Alimentação</t>
  </si>
  <si>
    <t>4.2</t>
  </si>
  <si>
    <t>Reposição do Profissional no Intervalo para Repouso e Alimentação</t>
  </si>
  <si>
    <t>Intrajornada</t>
  </si>
  <si>
    <t>Quadro-Resumo do Módulo 4 – Custo da Reposição do Profissional Ausente</t>
  </si>
  <si>
    <t>Custo da Reposição do Profissional Ausente</t>
  </si>
  <si>
    <t>Módulo 5 – Insumos Diversos</t>
  </si>
  <si>
    <t>Insumos Diversos</t>
  </si>
  <si>
    <t>BASE DE CÁUCULO DE TRIBUTOS - LUCRO PRESUMIDO</t>
  </si>
  <si>
    <t>Uniformes</t>
  </si>
  <si>
    <t>Utensílios e materiais</t>
  </si>
  <si>
    <t>BASE DE CÁLCULO DE TRIBUTOS - LUCRO REAL</t>
  </si>
  <si>
    <t>Equipamentos</t>
  </si>
  <si>
    <t>Módulo 6 – Custos Indiretos, Tributos e Lucro</t>
  </si>
  <si>
    <t>LUCRO PRESUMIDO</t>
  </si>
  <si>
    <t>LUCRO REAL</t>
  </si>
  <si>
    <t>Percentual (%)</t>
  </si>
  <si>
    <t>Custos Indiretos</t>
  </si>
  <si>
    <t>Lucro</t>
  </si>
  <si>
    <t>Tributos</t>
  </si>
  <si>
    <t>C.1. Tributos Federais (PIS e COFINS)</t>
  </si>
  <si>
    <t xml:space="preserve">C.2. Tributos Estaduais </t>
  </si>
  <si>
    <t>C.3. Tributos Municipais (ISS)</t>
  </si>
  <si>
    <t>2. QUADRO-RESUMO DO CUSTO POR EMPREGADO E POR POSTO</t>
  </si>
  <si>
    <t>Mão de obra vinculada à execução contratual (valor por empregado)</t>
  </si>
  <si>
    <t>Subtotal (A + B + C + D + E)</t>
  </si>
  <si>
    <t>Valor Total por Empregado</t>
  </si>
  <si>
    <t>VALOR TOTAL POR POSTO (x2)</t>
  </si>
  <si>
    <t>Vigilante - Desarmado Diurno</t>
  </si>
  <si>
    <t>Vigilante - Fiscal Armado Noturno</t>
  </si>
  <si>
    <t>C.1. Tributos Federais (PIS)</t>
  </si>
  <si>
    <t>C.2. Tributos Estaduais (COFINS)</t>
  </si>
  <si>
    <t>Vigilante - Desarmado Noturno</t>
  </si>
  <si>
    <t>Vigilante - Armado Noturno</t>
  </si>
  <si>
    <t>PROFISSIONAL: VIGILANTE</t>
  </si>
  <si>
    <t>ITEM</t>
  </si>
  <si>
    <t>DESCRIÇÃO DA PEÇA DO UNIFORME</t>
  </si>
  <si>
    <t>QUANT. ANUAL</t>
  </si>
  <si>
    <t>PREÇO UNIT. (R$)</t>
  </si>
  <si>
    <t>PREÇO TOTAL (R$)</t>
  </si>
  <si>
    <t>Camisa social, mangas longas, com emblema da empresa e com bolsos</t>
  </si>
  <si>
    <t>Calça social, com bolsos</t>
  </si>
  <si>
    <t>Cinto de guarnição, completo (coldre, baleiro e porta-tonfa), em nylon</t>
  </si>
  <si>
    <t>Par de meias de algodão</t>
  </si>
  <si>
    <t>Quepe ou boné, em tecido adequado às condições de uso dos vigilantes, com emblema da empresa, obedecendo à regulamentação da Polícia Federal</t>
  </si>
  <si>
    <t>Bota coturno, na cor preta, de 1ª qualidade</t>
  </si>
  <si>
    <t>Crachá, com foto, nome, cargo, CPF e emblema da empresa</t>
  </si>
  <si>
    <t>CUSTO ANUAL COM UNIFORMES (R$)</t>
  </si>
  <si>
    <t>CUSTO MENSAL COM UNIFORMES (R$)</t>
  </si>
  <si>
    <t>QUANTIDADE DE EMPREGADOS</t>
  </si>
  <si>
    <t>CUSTO MENSAL COM UNIFORMES POR EMPREGADO (R$)</t>
  </si>
  <si>
    <t>DESCRIÇÃO DO UTENSÍLIO / MATERIAL</t>
  </si>
  <si>
    <t>UNID.</t>
  </si>
  <si>
    <t>Livro de ocorrências</t>
  </si>
  <si>
    <t>Unid.</t>
  </si>
  <si>
    <t>Pilha para lanterna, blister com 04 unidades</t>
  </si>
  <si>
    <t>Blister</t>
  </si>
  <si>
    <t>Capa de chuva em PVC</t>
  </si>
  <si>
    <t>TOTAL ANUAL (R$)</t>
  </si>
  <si>
    <t>TOTAL MENSAL (R$)</t>
  </si>
  <si>
    <t>VALOR MENSAL POR EMPREGADO (R$)</t>
  </si>
  <si>
    <t>DESCRIÇÃO DO EQUIPAMENTO</t>
  </si>
  <si>
    <t>QUANT.</t>
  </si>
  <si>
    <t>CUSTO UNIT. DE AQUISIÇÃO (R$)</t>
  </si>
  <si>
    <t>TAXA ANUAL DE DEPRECIAÇÃO (R$)¹</t>
  </si>
  <si>
    <t>VALOR  ANUAL DEPRECIAÇÃO (R$)</t>
  </si>
  <si>
    <t>Lanterna 03 pilhas</t>
  </si>
  <si>
    <t>Rádio comunicador</t>
  </si>
  <si>
    <t xml:space="preserve">Revólver </t>
  </si>
  <si>
    <t>Colete</t>
  </si>
  <si>
    <t>VALOR MENSAL POR VIGILANTE ARMADO (R$)</t>
  </si>
  <si>
    <t>VALOR MENSAL POR VIGILANTE DESARMADO (R$)</t>
  </si>
  <si>
    <t>Nota¹: Taxas anuais de depreciação conforme Anexo III da Instrução Normativa RFB Nº 1700, de 14 de março de 2017.</t>
  </si>
  <si>
    <t>VALOR MENSAL DOS SERVIÇOS</t>
  </si>
  <si>
    <t>Serviço</t>
  </si>
  <si>
    <t>PREÇO MENSAL DO POSTO</t>
  </si>
  <si>
    <t>NÚMERO DE POSTOS</t>
  </si>
  <si>
    <t>SUBTOTAL (R$)</t>
  </si>
  <si>
    <t>Posto de Vigilante Fiscal Desarmado Diurno</t>
  </si>
  <si>
    <t>II</t>
  </si>
  <si>
    <t>Posto de Vigilante Desarmado Diurno</t>
  </si>
  <si>
    <t>III</t>
  </si>
  <si>
    <t>Posto de Vigilante Fiscal Armado Noturno</t>
  </si>
  <si>
    <t>IV</t>
  </si>
  <si>
    <t>Posto de Vigilante Desarmado Noturno</t>
  </si>
  <si>
    <t>V</t>
  </si>
  <si>
    <t>Posto de Vigilante Armado Noturno</t>
  </si>
  <si>
    <t>TOTAL</t>
  </si>
  <si>
    <t>VALOR GLOBAL DA PROPOSTA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</si>
</sst>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&quot;\ #,##0.00"/>
    <numFmt numFmtId="165" formatCode="dd/mm/yyyy"/>
    <numFmt numFmtId="166" formatCode="[$R$ -416]#,##0.00"/>
  </numFmts>
  <fonts count="14">
    <font>
      <sz val="11.0"/>
      <color theme="1"/>
      <name val="Calibri"/>
      <scheme val="minor"/>
    </font>
    <font>
      <b/>
      <sz val="10.0"/>
      <color theme="1"/>
      <name val="Arial"/>
    </font>
    <font/>
    <font>
      <b/>
      <sz val="9.0"/>
      <color theme="1"/>
      <name val="Arial"/>
    </font>
    <font>
      <sz val="9.0"/>
      <color theme="1"/>
      <name val="Arial"/>
    </font>
    <font>
      <color theme="1"/>
      <name val="Calibri"/>
      <scheme val="minor"/>
    </font>
    <font>
      <sz val="11.0"/>
      <color theme="1"/>
      <name val="Calibri"/>
    </font>
    <font>
      <sz val="10.0"/>
      <color theme="1"/>
      <name val="Arial"/>
    </font>
    <font>
      <sz val="8.0"/>
      <color rgb="FF000000"/>
      <name val="Arial"/>
    </font>
    <font>
      <b/>
      <sz val="11.0"/>
      <color theme="1"/>
      <name val="Calibri"/>
    </font>
    <font>
      <b/>
      <color theme="1"/>
      <name val="Calibri"/>
      <scheme val="minor"/>
    </font>
    <font>
      <b/>
      <sz val="9.0"/>
      <color rgb="FF000000"/>
      <name val="Arial"/>
    </font>
    <font>
      <sz val="9.0"/>
      <color rgb="FF000000"/>
      <name val="Arial"/>
    </font>
    <font>
      <sz val="9.0"/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1" numFmtId="0" xfId="0" applyAlignment="1" applyBorder="1" applyFill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7" fillId="0" fontId="4" numFmtId="164" xfId="0" applyAlignment="1" applyBorder="1" applyFont="1" applyNumberFormat="1">
      <alignment horizontal="center" readingOrder="0" shrinkToFit="0" vertical="center" wrapText="1"/>
    </xf>
    <xf borderId="7" fillId="0" fontId="4" numFmtId="0" xfId="0" applyAlignment="1" applyBorder="1" applyFont="1">
      <alignment horizontal="center" readingOrder="0" shrinkToFit="0" vertical="center" wrapText="1"/>
    </xf>
    <xf borderId="0" fillId="0" fontId="5" numFmtId="165" xfId="0" applyAlignment="1" applyFont="1" applyNumberFormat="1">
      <alignment readingOrder="0"/>
    </xf>
    <xf borderId="1" fillId="0" fontId="4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/>
    </xf>
    <xf borderId="2" fillId="0" fontId="6" numFmtId="0" xfId="0" applyAlignment="1" applyBorder="1" applyFont="1">
      <alignment horizontal="center"/>
    </xf>
    <xf borderId="1" fillId="4" fontId="3" numFmtId="0" xfId="0" applyAlignment="1" applyBorder="1" applyFill="1" applyFont="1">
      <alignment horizontal="center" shrinkToFit="0" vertical="center" wrapText="1"/>
    </xf>
    <xf borderId="2" fillId="0" fontId="6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shrinkToFit="0" vertical="center" wrapText="1"/>
    </xf>
    <xf borderId="7" fillId="0" fontId="4" numFmtId="4" xfId="0" applyAlignment="1" applyBorder="1" applyFont="1" applyNumberFormat="1">
      <alignment horizontal="center" shrinkToFit="0" vertical="center" wrapText="1"/>
    </xf>
    <xf borderId="7" fillId="0" fontId="5" numFmtId="0" xfId="0" applyAlignment="1" applyBorder="1" applyFont="1">
      <alignment horizontal="center" readingOrder="0"/>
    </xf>
    <xf borderId="7" fillId="0" fontId="4" numFmtId="2" xfId="0" applyAlignment="1" applyBorder="1" applyFont="1" applyNumberFormat="1">
      <alignment horizontal="center"/>
    </xf>
    <xf borderId="7" fillId="0" fontId="4" numFmtId="2" xfId="0" applyAlignment="1" applyBorder="1" applyFont="1" applyNumberFormat="1">
      <alignment horizontal="center" readingOrder="0"/>
    </xf>
    <xf borderId="7" fillId="0" fontId="3" numFmtId="4" xfId="0" applyAlignment="1" applyBorder="1" applyFont="1" applyNumberFormat="1">
      <alignment horizontal="center" shrinkToFit="0" vertical="center" wrapText="1"/>
    </xf>
    <xf borderId="8" fillId="0" fontId="5" numFmtId="0" xfId="0" applyAlignment="1" applyBorder="1" applyFont="1">
      <alignment readingOrder="0" shrinkToFit="0" wrapText="1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9" fillId="0" fontId="6" numFmtId="0" xfId="0" applyAlignment="1" applyBorder="1" applyFont="1">
      <alignment horizontal="center"/>
    </xf>
    <xf borderId="12" fillId="0" fontId="3" numFmtId="0" xfId="0" applyAlignment="1" applyBorder="1" applyFont="1">
      <alignment horizontal="center" shrinkToFit="0" vertical="center" wrapText="1"/>
    </xf>
    <xf borderId="7" fillId="0" fontId="5" numFmtId="4" xfId="0" applyAlignment="1" applyBorder="1" applyFont="1" applyNumberFormat="1">
      <alignment horizontal="center"/>
    </xf>
    <xf borderId="7" fillId="0" fontId="4" numFmtId="2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7" fillId="0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7" fillId="0" fontId="4" numFmtId="0" xfId="0" applyAlignment="1" applyBorder="1" applyFont="1">
      <alignment horizontal="left" shrinkToFit="0" vertical="center" wrapText="1"/>
    </xf>
    <xf borderId="7" fillId="0" fontId="4" numFmtId="10" xfId="0" applyAlignment="1" applyBorder="1" applyFont="1" applyNumberFormat="1">
      <alignment horizontal="center" readingOrder="0" shrinkToFit="0" vertical="center" wrapText="1"/>
    </xf>
    <xf borderId="0" fillId="0" fontId="4" numFmtId="2" xfId="0" applyAlignment="1" applyFont="1" applyNumberFormat="1">
      <alignment horizontal="center" shrinkToFit="0" vertical="center" wrapText="1"/>
    </xf>
    <xf borderId="0" fillId="0" fontId="4" numFmtId="4" xfId="0" applyAlignment="1" applyFont="1" applyNumberFormat="1">
      <alignment horizontal="center" shrinkToFit="0" vertical="center" wrapText="1"/>
    </xf>
    <xf borderId="0" fillId="0" fontId="4" numFmtId="2" xfId="0" applyAlignment="1" applyFont="1" applyNumberFormat="1">
      <alignment horizontal="center" readingOrder="0" shrinkToFit="0" vertical="center" wrapText="1"/>
    </xf>
    <xf borderId="7" fillId="0" fontId="4" numFmtId="10" xfId="0" applyAlignment="1" applyBorder="1" applyFont="1" applyNumberFormat="1">
      <alignment horizontal="center" shrinkToFit="0" vertical="center" wrapText="1"/>
    </xf>
    <xf borderId="12" fillId="0" fontId="3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1" numFmtId="0" xfId="0" applyAlignment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7" fillId="0" fontId="7" numFmtId="164" xfId="0" applyAlignment="1" applyBorder="1" applyFont="1" applyNumberFormat="1">
      <alignment horizontal="center" readingOrder="0" shrinkToFit="0" vertical="center" wrapText="1"/>
    </xf>
    <xf borderId="7" fillId="0" fontId="4" numFmtId="2" xfId="0" applyAlignment="1" applyBorder="1" applyFont="1" applyNumberFormat="1">
      <alignment horizontal="center" readingOrder="0" shrinkToFit="0" vertical="center" wrapText="1"/>
    </xf>
    <xf borderId="17" fillId="0" fontId="7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" fillId="4" fontId="3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 readingOrder="0"/>
    </xf>
    <xf borderId="7" fillId="0" fontId="5" numFmtId="2" xfId="0" applyAlignment="1" applyBorder="1" applyFont="1" applyNumberFormat="1">
      <alignment horizontal="center"/>
    </xf>
    <xf borderId="1" fillId="0" fontId="4" numFmtId="0" xfId="0" applyAlignment="1" applyBorder="1" applyFont="1">
      <alignment horizontal="left" readingOrder="0"/>
    </xf>
    <xf borderId="0" fillId="0" fontId="8" numFmtId="0" xfId="0" applyAlignment="1" applyFont="1">
      <alignment readingOrder="0" shrinkToFit="0" wrapText="1"/>
    </xf>
    <xf borderId="7" fillId="0" fontId="3" numFmtId="2" xfId="0" applyAlignment="1" applyBorder="1" applyFont="1" applyNumberFormat="1">
      <alignment horizontal="center" shrinkToFit="0" vertical="center" wrapText="1"/>
    </xf>
    <xf borderId="19" fillId="4" fontId="3" numFmtId="0" xfId="0" applyAlignment="1" applyBorder="1" applyFont="1">
      <alignment horizontal="center" vertical="center"/>
    </xf>
    <xf borderId="20" fillId="0" fontId="2" numFmtId="0" xfId="0" applyBorder="1" applyFont="1"/>
    <xf borderId="21" fillId="0" fontId="2" numFmtId="0" xfId="0" applyBorder="1" applyFont="1"/>
    <xf borderId="22" fillId="0" fontId="4" numFmtId="2" xfId="0" applyAlignment="1" applyBorder="1" applyFont="1" applyNumberFormat="1">
      <alignment horizontal="center"/>
    </xf>
    <xf borderId="2" fillId="0" fontId="4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readingOrder="0" shrinkToFit="0" wrapText="1"/>
    </xf>
    <xf borderId="7" fillId="0" fontId="4" numFmtId="2" xfId="0" applyAlignment="1" applyBorder="1" applyFont="1" applyNumberFormat="1">
      <alignment horizontal="center" vertical="center"/>
    </xf>
    <xf borderId="12" fillId="0" fontId="6" numFmtId="0" xfId="0" applyAlignment="1" applyBorder="1" applyFont="1">
      <alignment horizontal="center"/>
    </xf>
    <xf borderId="2" fillId="0" fontId="9" numFmtId="0" xfId="0" applyAlignment="1" applyBorder="1" applyFont="1">
      <alignment horizontal="center" readingOrder="0" vertical="center"/>
    </xf>
    <xf borderId="1" fillId="0" fontId="10" numFmtId="0" xfId="0" applyAlignment="1" applyBorder="1" applyFont="1">
      <alignment horizontal="center" readingOrder="0"/>
    </xf>
    <xf borderId="7" fillId="0" fontId="5" numFmtId="0" xfId="0" applyAlignment="1" applyBorder="1" applyFont="1">
      <alignment readingOrder="0"/>
    </xf>
    <xf borderId="22" fillId="0" fontId="5" numFmtId="0" xfId="0" applyBorder="1" applyFont="1"/>
    <xf borderId="7" fillId="0" fontId="5" numFmtId="0" xfId="0" applyBorder="1" applyFont="1"/>
    <xf borderId="1" fillId="2" fontId="1" numFmtId="0" xfId="0" applyAlignment="1" applyBorder="1" applyFont="1">
      <alignment horizontal="center" shrinkToFit="0" vertical="center" wrapText="1"/>
    </xf>
    <xf borderId="7" fillId="0" fontId="4" numFmtId="4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readingOrder="0" shrinkToFit="0" wrapText="1"/>
    </xf>
    <xf borderId="14" fillId="0" fontId="1" numFmtId="0" xfId="0" applyAlignment="1" applyBorder="1" applyFont="1">
      <alignment horizontal="center" readingOrder="0" shrinkToFit="0" vertical="center" wrapText="1"/>
    </xf>
    <xf borderId="16" fillId="0" fontId="7" numFmtId="0" xfId="0" applyAlignment="1" applyBorder="1" applyFont="1">
      <alignment horizontal="center" readingOrder="0" shrinkToFit="0" vertical="center" wrapText="1"/>
    </xf>
    <xf borderId="7" fillId="0" fontId="4" numFmtId="0" xfId="0" applyAlignment="1" applyBorder="1" applyFont="1">
      <alignment horizontal="left" readingOrder="0" shrinkToFit="0" vertical="center" wrapText="1"/>
    </xf>
    <xf borderId="7" fillId="0" fontId="10" numFmtId="2" xfId="0" applyAlignment="1" applyBorder="1" applyFont="1" applyNumberFormat="1">
      <alignment horizontal="center"/>
    </xf>
    <xf borderId="7" fillId="0" fontId="4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shrinkToFit="0" wrapText="1"/>
    </xf>
    <xf borderId="3" fillId="0" fontId="4" numFmtId="2" xfId="0" applyAlignment="1" applyBorder="1" applyFont="1" applyNumberFormat="1">
      <alignment horizontal="center" vertical="bottom"/>
    </xf>
    <xf borderId="0" fillId="0" fontId="6" numFmtId="0" xfId="0" applyAlignment="1" applyFont="1">
      <alignment vertical="bottom"/>
    </xf>
    <xf borderId="1" fillId="2" fontId="3" numFmtId="0" xfId="0" applyAlignment="1" applyBorder="1" applyFont="1">
      <alignment horizontal="center" shrinkToFit="0" vertical="center" wrapText="1"/>
    </xf>
    <xf borderId="7" fillId="5" fontId="11" numFmtId="0" xfId="0" applyAlignment="1" applyBorder="1" applyFill="1" applyFont="1">
      <alignment horizontal="center" shrinkToFit="0" vertical="center" wrapText="1"/>
    </xf>
    <xf borderId="7" fillId="0" fontId="4" numFmtId="0" xfId="0" applyAlignment="1" applyBorder="1" applyFont="1">
      <alignment horizontal="center" vertical="center"/>
    </xf>
    <xf borderId="7" fillId="0" fontId="12" numFmtId="0" xfId="0" applyAlignment="1" applyBorder="1" applyFont="1">
      <alignment horizontal="left" shrinkToFit="0" vertical="center" wrapText="1"/>
    </xf>
    <xf borderId="7" fillId="0" fontId="12" numFmtId="4" xfId="0" applyAlignment="1" applyBorder="1" applyFont="1" applyNumberFormat="1">
      <alignment horizontal="center" readingOrder="0" shrinkToFit="0" vertical="center" wrapText="1"/>
    </xf>
    <xf borderId="7" fillId="0" fontId="12" numFmtId="4" xfId="0" applyAlignment="1" applyBorder="1" applyFont="1" applyNumberFormat="1">
      <alignment horizontal="center" shrinkToFit="0" vertical="center" wrapText="1"/>
    </xf>
    <xf borderId="7" fillId="0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vertical="center"/>
    </xf>
    <xf borderId="7" fillId="0" fontId="4" numFmtId="4" xfId="0" applyAlignment="1" applyBorder="1" applyFont="1" applyNumberFormat="1">
      <alignment horizontal="center" vertical="center"/>
    </xf>
    <xf borderId="7" fillId="0" fontId="4" numFmtId="4" xfId="0" applyAlignment="1" applyBorder="1" applyFont="1" applyNumberFormat="1">
      <alignment horizontal="center" readingOrder="0" vertical="center"/>
    </xf>
    <xf borderId="1" fillId="0" fontId="3" numFmtId="0" xfId="0" applyAlignment="1" applyBorder="1" applyFont="1">
      <alignment horizontal="center" vertical="center"/>
    </xf>
    <xf borderId="7" fillId="0" fontId="3" numFmtId="164" xfId="0" applyAlignment="1" applyBorder="1" applyFont="1" applyNumberFormat="1">
      <alignment horizontal="center" vertical="center"/>
    </xf>
    <xf borderId="23" fillId="6" fontId="12" numFmtId="0" xfId="0" applyAlignment="1" applyBorder="1" applyFill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7" fillId="0" fontId="12" numFmtId="2" xfId="0" applyAlignment="1" applyBorder="1" applyFont="1" applyNumberFormat="1">
      <alignment horizontal="center" readingOrder="0" shrinkToFit="0" vertical="center" wrapText="1"/>
    </xf>
    <xf borderId="3" fillId="0" fontId="12" numFmtId="4" xfId="0" applyAlignment="1" applyBorder="1" applyFont="1" applyNumberFormat="1">
      <alignment horizontal="center" readingOrder="0" shrinkToFit="0" vertical="center" wrapText="1"/>
    </xf>
    <xf borderId="7" fillId="0" fontId="12" numFmtId="10" xfId="0" applyAlignment="1" applyBorder="1" applyFont="1" applyNumberFormat="1">
      <alignment horizontal="center" shrinkToFit="0" vertical="center" wrapText="1"/>
    </xf>
    <xf borderId="7" fillId="0" fontId="12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7" fillId="4" fontId="3" numFmtId="0" xfId="0" applyAlignment="1" applyBorder="1" applyFont="1">
      <alignment horizontal="center" shrinkToFit="0" vertical="center" wrapText="1"/>
    </xf>
    <xf borderId="24" fillId="4" fontId="3" numFmtId="0" xfId="0" applyAlignment="1" applyBorder="1" applyFont="1">
      <alignment horizontal="center" readingOrder="0" shrinkToFit="0" vertical="center" wrapText="1"/>
    </xf>
    <xf borderId="3" fillId="0" fontId="4" numFmtId="0" xfId="0" applyAlignment="1" applyBorder="1" applyFont="1">
      <alignment horizontal="left" readingOrder="0" shrinkToFit="0" vertical="center" wrapText="1"/>
    </xf>
    <xf borderId="7" fillId="0" fontId="4" numFmtId="164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center" readingOrder="0"/>
    </xf>
    <xf borderId="7" fillId="0" fontId="3" numFmtId="164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readingOrder="0"/>
    </xf>
    <xf borderId="7" fillId="0" fontId="10" numFmtId="166" xfId="0" applyBorder="1" applyFont="1" applyNumberFormat="1"/>
    <xf borderId="0" fillId="0" fontId="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8.57"/>
    <col customWidth="1" min="3" max="3" width="11.43"/>
    <col customWidth="1" min="4" max="4" width="24.43"/>
    <col customWidth="1" min="5" max="5" width="10.43"/>
    <col customWidth="1" min="6" max="6" width="21.86"/>
    <col customWidth="1" min="7" max="7" width="10.14"/>
    <col customWidth="1" min="8" max="8" width="18.86"/>
    <col customWidth="1" min="9" max="26" width="8.86"/>
  </cols>
  <sheetData>
    <row r="1">
      <c r="A1" s="1" t="s">
        <v>0</v>
      </c>
      <c r="B1" s="2"/>
      <c r="C1" s="2"/>
      <c r="D1" s="3"/>
    </row>
    <row r="2">
      <c r="A2" s="4"/>
      <c r="B2" s="5"/>
      <c r="C2" s="5"/>
      <c r="D2" s="6"/>
    </row>
    <row r="3">
      <c r="A3" s="7" t="s">
        <v>1</v>
      </c>
      <c r="B3" s="2"/>
      <c r="C3" s="2"/>
      <c r="D3" s="3"/>
    </row>
    <row r="4">
      <c r="A4" s="8">
        <v>1.0</v>
      </c>
      <c r="B4" s="9" t="s">
        <v>2</v>
      </c>
      <c r="C4" s="3"/>
      <c r="D4" s="8" t="s">
        <v>3</v>
      </c>
    </row>
    <row r="5">
      <c r="A5" s="8">
        <v>2.0</v>
      </c>
      <c r="B5" s="9" t="s">
        <v>4</v>
      </c>
      <c r="C5" s="3"/>
      <c r="D5" s="8" t="s">
        <v>5</v>
      </c>
    </row>
    <row r="6">
      <c r="A6" s="8">
        <v>3.0</v>
      </c>
      <c r="B6" s="9" t="s">
        <v>6</v>
      </c>
      <c r="C6" s="3"/>
      <c r="D6" s="10">
        <v>1268.74</v>
      </c>
    </row>
    <row r="7">
      <c r="A7" s="8">
        <v>4.0</v>
      </c>
      <c r="B7" s="9" t="s">
        <v>7</v>
      </c>
      <c r="C7" s="3"/>
      <c r="D7" s="11" t="s">
        <v>8</v>
      </c>
    </row>
    <row r="8">
      <c r="A8" s="8">
        <v>5.0</v>
      </c>
      <c r="B8" s="9" t="s">
        <v>9</v>
      </c>
      <c r="C8" s="3"/>
      <c r="D8" s="11" t="s">
        <v>10</v>
      </c>
      <c r="E8" s="12"/>
    </row>
    <row r="9">
      <c r="A9" s="8">
        <v>6.0</v>
      </c>
      <c r="B9" s="13" t="s">
        <v>11</v>
      </c>
      <c r="C9" s="3"/>
      <c r="D9" s="14" t="s">
        <v>12</v>
      </c>
    </row>
    <row r="10">
      <c r="A10" s="15"/>
      <c r="B10" s="2"/>
      <c r="C10" s="2"/>
      <c r="D10" s="2"/>
    </row>
    <row r="11">
      <c r="A11" s="16" t="s">
        <v>13</v>
      </c>
      <c r="B11" s="2"/>
      <c r="C11" s="2"/>
      <c r="D11" s="3"/>
    </row>
    <row r="12">
      <c r="A12" s="17"/>
      <c r="B12" s="2"/>
      <c r="C12" s="2"/>
      <c r="D12" s="2"/>
    </row>
    <row r="13">
      <c r="A13" s="18">
        <v>1.0</v>
      </c>
      <c r="B13" s="7" t="s">
        <v>14</v>
      </c>
      <c r="C13" s="3"/>
      <c r="D13" s="18" t="s">
        <v>15</v>
      </c>
    </row>
    <row r="14">
      <c r="A14" s="8" t="s">
        <v>16</v>
      </c>
      <c r="B14" s="9" t="s">
        <v>17</v>
      </c>
      <c r="C14" s="3"/>
      <c r="D14" s="19">
        <f>D6</f>
        <v>1268.74</v>
      </c>
    </row>
    <row r="15">
      <c r="A15" s="8" t="s">
        <v>18</v>
      </c>
      <c r="B15" s="9" t="s">
        <v>19</v>
      </c>
      <c r="C15" s="3"/>
      <c r="D15" s="19">
        <f>0.3*D14</f>
        <v>380.622</v>
      </c>
    </row>
    <row r="16">
      <c r="A16" s="8" t="s">
        <v>20</v>
      </c>
      <c r="B16" s="9" t="s">
        <v>21</v>
      </c>
      <c r="C16" s="3"/>
      <c r="D16" s="19" t="s">
        <v>22</v>
      </c>
    </row>
    <row r="17">
      <c r="A17" s="8" t="s">
        <v>23</v>
      </c>
      <c r="B17" s="9" t="s">
        <v>24</v>
      </c>
      <c r="C17" s="3"/>
      <c r="D17" s="19" t="s">
        <v>22</v>
      </c>
    </row>
    <row r="18">
      <c r="A18" s="8" t="s">
        <v>25</v>
      </c>
      <c r="B18" s="9" t="s">
        <v>26</v>
      </c>
      <c r="C18" s="3"/>
      <c r="D18" s="19" t="s">
        <v>22</v>
      </c>
    </row>
    <row r="19">
      <c r="A19" s="8" t="s">
        <v>27</v>
      </c>
      <c r="B19" s="9" t="s">
        <v>28</v>
      </c>
      <c r="C19" s="3"/>
      <c r="D19" s="19" t="s">
        <v>22</v>
      </c>
    </row>
    <row r="20">
      <c r="A20" s="11" t="s">
        <v>29</v>
      </c>
      <c r="B20" s="13" t="s">
        <v>30</v>
      </c>
      <c r="C20" s="3"/>
      <c r="D20" s="19">
        <f>D14*0.35</f>
        <v>444.059</v>
      </c>
    </row>
    <row r="21">
      <c r="A21" s="11" t="s">
        <v>31</v>
      </c>
      <c r="B21" s="13" t="s">
        <v>32</v>
      </c>
      <c r="C21" s="3"/>
      <c r="D21" s="20" t="s">
        <v>22</v>
      </c>
    </row>
    <row r="22">
      <c r="A22" s="11" t="s">
        <v>33</v>
      </c>
      <c r="B22" s="13" t="s">
        <v>34</v>
      </c>
      <c r="C22" s="3"/>
      <c r="D22" s="21">
        <f>D14*14.03%</f>
        <v>178.004222</v>
      </c>
    </row>
    <row r="23">
      <c r="A23" s="11" t="s">
        <v>35</v>
      </c>
      <c r="B23" s="13" t="s">
        <v>36</v>
      </c>
      <c r="C23" s="3"/>
      <c r="D23" s="22">
        <f>D14*0.51/12</f>
        <v>53.92145</v>
      </c>
    </row>
    <row r="24">
      <c r="A24" s="11" t="s">
        <v>37</v>
      </c>
      <c r="B24" s="13" t="s">
        <v>38</v>
      </c>
      <c r="C24" s="3"/>
      <c r="D24" s="22" t="s">
        <v>22</v>
      </c>
    </row>
    <row r="25">
      <c r="A25" s="7" t="s">
        <v>39</v>
      </c>
      <c r="B25" s="2"/>
      <c r="C25" s="3"/>
      <c r="D25" s="23">
        <f>SUM(D14:D24)</f>
        <v>2325.346672</v>
      </c>
    </row>
    <row r="26" ht="22.5" customHeight="1">
      <c r="A26" s="24" t="s">
        <v>40</v>
      </c>
      <c r="B26" s="25"/>
      <c r="C26" s="25"/>
      <c r="D26" s="26"/>
    </row>
    <row r="27" ht="15.75" customHeight="1">
      <c r="A27" s="27"/>
      <c r="B27" s="28"/>
      <c r="C27" s="28"/>
      <c r="D27" s="29"/>
    </row>
    <row r="28" ht="15.75" customHeight="1">
      <c r="A28" s="18"/>
      <c r="B28" s="18"/>
      <c r="C28" s="18"/>
      <c r="D28" s="18"/>
    </row>
    <row r="29" ht="15.75" customHeight="1">
      <c r="A29" s="16" t="s">
        <v>41</v>
      </c>
      <c r="B29" s="2"/>
      <c r="C29" s="2"/>
      <c r="D29" s="3"/>
    </row>
    <row r="30" ht="15.75" customHeight="1">
      <c r="A30" s="30"/>
      <c r="B30" s="25"/>
      <c r="C30" s="25"/>
      <c r="D30" s="25"/>
    </row>
    <row r="31" ht="15.75" customHeight="1">
      <c r="A31" s="31" t="s">
        <v>42</v>
      </c>
      <c r="B31" s="28"/>
      <c r="C31" s="28"/>
      <c r="D31" s="28"/>
      <c r="F31" s="20" t="s">
        <v>43</v>
      </c>
    </row>
    <row r="32" ht="15.75" customHeight="1">
      <c r="A32" s="18" t="s">
        <v>44</v>
      </c>
      <c r="B32" s="7" t="s">
        <v>45</v>
      </c>
      <c r="C32" s="3"/>
      <c r="D32" s="18" t="s">
        <v>15</v>
      </c>
      <c r="F32" s="32">
        <f>SUM(D14:D20)</f>
        <v>2093.421</v>
      </c>
    </row>
    <row r="33" ht="15.75" customHeight="1">
      <c r="A33" s="8" t="s">
        <v>16</v>
      </c>
      <c r="B33" s="9" t="s">
        <v>46</v>
      </c>
      <c r="C33" s="3"/>
      <c r="D33" s="33">
        <f>F32*0.0833</f>
        <v>174.3819693</v>
      </c>
    </row>
    <row r="34" ht="15.75" customHeight="1">
      <c r="A34" s="8" t="s">
        <v>18</v>
      </c>
      <c r="B34" s="13" t="s">
        <v>47</v>
      </c>
      <c r="C34" s="3"/>
      <c r="D34" s="33">
        <f>F32*0.0833</f>
        <v>174.3819693</v>
      </c>
    </row>
    <row r="35" ht="15.75" customHeight="1">
      <c r="A35" s="7" t="s">
        <v>39</v>
      </c>
      <c r="B35" s="2"/>
      <c r="C35" s="3"/>
      <c r="D35" s="33">
        <f>SUM(D33:D34)</f>
        <v>348.7639386</v>
      </c>
    </row>
    <row r="36" ht="15.75" customHeight="1">
      <c r="A36" s="34"/>
    </row>
    <row r="37" ht="23.25" customHeight="1">
      <c r="A37" s="35" t="s">
        <v>48</v>
      </c>
    </row>
    <row r="38" ht="15.75" customHeight="1">
      <c r="A38" s="18" t="s">
        <v>49</v>
      </c>
      <c r="B38" s="18" t="s">
        <v>50</v>
      </c>
      <c r="C38" s="36" t="s">
        <v>51</v>
      </c>
      <c r="D38" s="18" t="s">
        <v>15</v>
      </c>
      <c r="E38" s="37"/>
      <c r="F38" s="36" t="s">
        <v>52</v>
      </c>
      <c r="H38" s="35"/>
      <c r="I38" s="37"/>
      <c r="J38" s="35"/>
    </row>
    <row r="39" ht="15.75" customHeight="1">
      <c r="A39" s="8" t="s">
        <v>16</v>
      </c>
      <c r="B39" s="38" t="s">
        <v>53</v>
      </c>
      <c r="C39" s="39">
        <v>0.2</v>
      </c>
      <c r="D39" s="19">
        <f>F39*C39</f>
        <v>488.4369877</v>
      </c>
      <c r="E39" s="40"/>
      <c r="F39" s="19">
        <f>SUM(D14:D20,D35)</f>
        <v>2442.184939</v>
      </c>
      <c r="G39" s="40"/>
      <c r="H39" s="41"/>
      <c r="I39" s="40"/>
      <c r="J39" s="41"/>
    </row>
    <row r="40" ht="15.75" customHeight="1">
      <c r="A40" s="8" t="s">
        <v>18</v>
      </c>
      <c r="B40" s="38" t="s">
        <v>54</v>
      </c>
      <c r="C40" s="39">
        <v>0.025</v>
      </c>
      <c r="D40" s="19">
        <f>F39*C40</f>
        <v>61.05462347</v>
      </c>
      <c r="E40" s="42"/>
      <c r="F40" s="41"/>
      <c r="G40" s="40"/>
      <c r="H40" s="41"/>
      <c r="I40" s="40"/>
      <c r="J40" s="41"/>
    </row>
    <row r="41" ht="15.75" customHeight="1">
      <c r="A41" s="8" t="s">
        <v>20</v>
      </c>
      <c r="B41" s="38" t="s">
        <v>55</v>
      </c>
      <c r="C41" s="39">
        <v>0.03</v>
      </c>
      <c r="D41" s="19">
        <f>F39*C41</f>
        <v>73.26554816</v>
      </c>
      <c r="E41" s="40"/>
      <c r="F41" s="41"/>
      <c r="G41" s="40"/>
      <c r="H41" s="41"/>
      <c r="I41" s="40"/>
      <c r="J41" s="41"/>
    </row>
    <row r="42" ht="15.75" customHeight="1">
      <c r="A42" s="8" t="s">
        <v>23</v>
      </c>
      <c r="B42" s="38" t="s">
        <v>56</v>
      </c>
      <c r="C42" s="39">
        <v>0.015</v>
      </c>
      <c r="D42" s="19">
        <f>F39*C42</f>
        <v>36.63277408</v>
      </c>
      <c r="E42" s="42"/>
      <c r="F42" s="41"/>
      <c r="G42" s="40"/>
      <c r="H42" s="41"/>
      <c r="I42" s="40"/>
      <c r="J42" s="41"/>
    </row>
    <row r="43" ht="15.75" customHeight="1">
      <c r="A43" s="8" t="s">
        <v>25</v>
      </c>
      <c r="B43" s="38" t="s">
        <v>57</v>
      </c>
      <c r="C43" s="39">
        <v>0.01</v>
      </c>
      <c r="D43" s="19">
        <f>F39*C43</f>
        <v>24.42184939</v>
      </c>
      <c r="E43" s="42"/>
      <c r="F43" s="41"/>
      <c r="G43" s="40"/>
      <c r="H43" s="41"/>
      <c r="I43" s="40"/>
      <c r="J43" s="41"/>
    </row>
    <row r="44" ht="15.75" customHeight="1">
      <c r="A44" s="8" t="s">
        <v>27</v>
      </c>
      <c r="B44" s="38" t="s">
        <v>58</v>
      </c>
      <c r="C44" s="39">
        <v>0.006</v>
      </c>
      <c r="D44" s="19">
        <f>F39*C44</f>
        <v>14.65310963</v>
      </c>
      <c r="E44" s="42"/>
      <c r="F44" s="41"/>
      <c r="G44" s="40"/>
      <c r="H44" s="41"/>
      <c r="I44" s="40"/>
      <c r="J44" s="41"/>
    </row>
    <row r="45" ht="15.75" customHeight="1">
      <c r="A45" s="8" t="s">
        <v>29</v>
      </c>
      <c r="B45" s="38" t="s">
        <v>59</v>
      </c>
      <c r="C45" s="39">
        <v>0.002</v>
      </c>
      <c r="D45" s="19">
        <f>F39*C45</f>
        <v>4.884369877</v>
      </c>
      <c r="E45" s="42"/>
      <c r="F45" s="41"/>
      <c r="G45" s="40"/>
      <c r="H45" s="41"/>
      <c r="I45" s="40"/>
      <c r="J45" s="41"/>
    </row>
    <row r="46" ht="15.75" customHeight="1">
      <c r="A46" s="8" t="s">
        <v>31</v>
      </c>
      <c r="B46" s="38" t="s">
        <v>60</v>
      </c>
      <c r="C46" s="39">
        <v>0.08</v>
      </c>
      <c r="D46" s="19">
        <f>F39*C46</f>
        <v>195.3747951</v>
      </c>
      <c r="E46" s="40"/>
      <c r="F46" s="41"/>
      <c r="G46" s="40"/>
      <c r="H46" s="41"/>
      <c r="I46" s="40"/>
      <c r="J46" s="41"/>
    </row>
    <row r="47" ht="15.75" customHeight="1">
      <c r="A47" s="7" t="s">
        <v>39</v>
      </c>
      <c r="B47" s="3"/>
      <c r="C47" s="43">
        <f t="shared" ref="C47:D47" si="1">SUM(C39:C46)</f>
        <v>0.368</v>
      </c>
      <c r="D47" s="19">
        <f t="shared" si="1"/>
        <v>898.7240574</v>
      </c>
      <c r="E47" s="40"/>
      <c r="F47" s="41"/>
      <c r="G47" s="40"/>
      <c r="H47" s="41"/>
      <c r="I47" s="40"/>
      <c r="J47" s="41"/>
    </row>
    <row r="48" ht="15.75" customHeight="1">
      <c r="A48" s="34"/>
    </row>
    <row r="49" ht="15.75" customHeight="1">
      <c r="A49" s="44" t="s">
        <v>61</v>
      </c>
      <c r="B49" s="28"/>
      <c r="C49" s="28"/>
      <c r="D49" s="28"/>
    </row>
    <row r="50" ht="15.75" customHeight="1">
      <c r="A50" s="18" t="s">
        <v>62</v>
      </c>
      <c r="B50" s="7" t="s">
        <v>63</v>
      </c>
      <c r="C50" s="3"/>
      <c r="D50" s="18" t="s">
        <v>15</v>
      </c>
      <c r="F50" s="45" t="s">
        <v>64</v>
      </c>
      <c r="G50" s="46"/>
      <c r="H50" s="47"/>
    </row>
    <row r="51" ht="15.75" customHeight="1">
      <c r="A51" s="8" t="s">
        <v>16</v>
      </c>
      <c r="B51" s="9" t="s">
        <v>65</v>
      </c>
      <c r="C51" s="3"/>
      <c r="D51" s="33">
        <f>(15*2*G51)-(0.06*0.5*D14)</f>
        <v>90.9378</v>
      </c>
      <c r="F51" s="48" t="s">
        <v>66</v>
      </c>
      <c r="G51" s="49">
        <v>4.3</v>
      </c>
      <c r="H51" s="47"/>
    </row>
    <row r="52" ht="15.75" customHeight="1">
      <c r="A52" s="8" t="s">
        <v>18</v>
      </c>
      <c r="B52" s="13" t="s">
        <v>67</v>
      </c>
      <c r="C52" s="3"/>
      <c r="D52" s="33">
        <f>(15*G53)-(0.15*15*G53)</f>
        <v>191.25</v>
      </c>
      <c r="F52" s="45" t="s">
        <v>68</v>
      </c>
      <c r="G52" s="46"/>
      <c r="H52" s="47"/>
    </row>
    <row r="53" ht="15.75" customHeight="1">
      <c r="A53" s="8" t="s">
        <v>20</v>
      </c>
      <c r="B53" s="9" t="s">
        <v>69</v>
      </c>
      <c r="C53" s="3"/>
      <c r="D53" s="50">
        <v>80.0</v>
      </c>
      <c r="F53" s="48" t="s">
        <v>70</v>
      </c>
      <c r="G53" s="51">
        <v>15.0</v>
      </c>
      <c r="H53" s="47"/>
    </row>
    <row r="54" ht="15.75" customHeight="1">
      <c r="A54" s="8" t="s">
        <v>23</v>
      </c>
      <c r="B54" s="9" t="s">
        <v>71</v>
      </c>
      <c r="C54" s="3"/>
      <c r="D54" s="50">
        <f>182.79*0.66</f>
        <v>120.6414</v>
      </c>
      <c r="F54" s="45"/>
      <c r="G54" s="46"/>
      <c r="H54" s="47"/>
    </row>
    <row r="55" ht="15.75" customHeight="1">
      <c r="A55" s="8" t="s">
        <v>25</v>
      </c>
      <c r="B55" s="13" t="s">
        <v>72</v>
      </c>
      <c r="C55" s="3"/>
      <c r="D55" s="33">
        <f>D14*1.5/12</f>
        <v>158.5925</v>
      </c>
      <c r="F55" s="48"/>
      <c r="G55" s="51"/>
      <c r="H55" s="47"/>
    </row>
    <row r="56" ht="15.75" customHeight="1">
      <c r="A56" s="7" t="s">
        <v>39</v>
      </c>
      <c r="B56" s="2"/>
      <c r="C56" s="3"/>
      <c r="D56" s="33">
        <f>SUM(D51:D55)</f>
        <v>641.4217</v>
      </c>
      <c r="H56" s="47"/>
    </row>
    <row r="57" ht="15.75" customHeight="1">
      <c r="A57" s="34"/>
      <c r="F57" s="52"/>
      <c r="G57" s="52"/>
    </row>
    <row r="58" ht="15.75" customHeight="1">
      <c r="A58" s="35" t="s">
        <v>73</v>
      </c>
      <c r="F58" s="52"/>
      <c r="G58" s="52"/>
    </row>
    <row r="59" ht="15.75" customHeight="1">
      <c r="A59" s="18">
        <v>2.0</v>
      </c>
      <c r="B59" s="7" t="s">
        <v>74</v>
      </c>
      <c r="C59" s="3"/>
      <c r="D59" s="18" t="s">
        <v>15</v>
      </c>
      <c r="F59" s="52"/>
      <c r="G59" s="52"/>
    </row>
    <row r="60" ht="15.75" customHeight="1">
      <c r="A60" s="8" t="s">
        <v>44</v>
      </c>
      <c r="B60" s="9" t="s">
        <v>45</v>
      </c>
      <c r="C60" s="3"/>
      <c r="D60" s="19">
        <f>D35</f>
        <v>348.7639386</v>
      </c>
      <c r="F60" s="52"/>
      <c r="G60" s="52"/>
    </row>
    <row r="61" ht="15.75" customHeight="1">
      <c r="A61" s="8" t="s">
        <v>49</v>
      </c>
      <c r="B61" s="9" t="s">
        <v>50</v>
      </c>
      <c r="C61" s="3"/>
      <c r="D61" s="19">
        <f>D47</f>
        <v>898.7240574</v>
      </c>
      <c r="F61" s="52"/>
      <c r="G61" s="52"/>
    </row>
    <row r="62" ht="15.75" customHeight="1">
      <c r="A62" s="8" t="s">
        <v>62</v>
      </c>
      <c r="B62" s="9" t="s">
        <v>63</v>
      </c>
      <c r="C62" s="3"/>
      <c r="D62" s="19">
        <f>D56</f>
        <v>641.4217</v>
      </c>
      <c r="F62" s="52"/>
      <c r="G62" s="52"/>
    </row>
    <row r="63" ht="15.75" customHeight="1">
      <c r="A63" s="7" t="s">
        <v>39</v>
      </c>
      <c r="B63" s="2"/>
      <c r="C63" s="3"/>
      <c r="D63" s="23">
        <f>SUM(D60:D62)</f>
        <v>1888.909696</v>
      </c>
    </row>
    <row r="64" ht="15.75" customHeight="1">
      <c r="A64" s="15"/>
      <c r="B64" s="2"/>
      <c r="C64" s="2"/>
      <c r="D64" s="2"/>
    </row>
    <row r="65" ht="15.75" customHeight="1">
      <c r="A65" s="53" t="s">
        <v>75</v>
      </c>
      <c r="B65" s="2"/>
      <c r="C65" s="2"/>
      <c r="D65" s="3"/>
    </row>
    <row r="66" ht="15.75" customHeight="1">
      <c r="A66" s="54"/>
      <c r="B66" s="25"/>
      <c r="C66" s="25"/>
      <c r="D66" s="25"/>
    </row>
    <row r="67" ht="15.75" customHeight="1">
      <c r="A67" s="44" t="s">
        <v>76</v>
      </c>
      <c r="B67" s="28"/>
      <c r="C67" s="28"/>
      <c r="D67" s="28"/>
    </row>
    <row r="68" ht="15.75" customHeight="1">
      <c r="A68" s="55" t="s">
        <v>77</v>
      </c>
      <c r="B68" s="56" t="s">
        <v>78</v>
      </c>
      <c r="C68" s="29"/>
      <c r="D68" s="55" t="s">
        <v>15</v>
      </c>
    </row>
    <row r="69" ht="15.75" customHeight="1">
      <c r="A69" s="8" t="s">
        <v>16</v>
      </c>
      <c r="B69" s="9" t="s">
        <v>78</v>
      </c>
      <c r="C69" s="3"/>
      <c r="D69" s="33">
        <f>F32*0.42%</f>
        <v>8.7923682</v>
      </c>
    </row>
    <row r="70" ht="15.75" customHeight="1">
      <c r="A70" s="8" t="s">
        <v>18</v>
      </c>
      <c r="B70" s="57" t="s">
        <v>79</v>
      </c>
      <c r="D70" s="58">
        <f>D69*2.2%</f>
        <v>0.1934321004</v>
      </c>
    </row>
    <row r="71" ht="15.75" customHeight="1">
      <c r="A71" s="11" t="s">
        <v>20</v>
      </c>
      <c r="B71" s="9" t="s">
        <v>80</v>
      </c>
      <c r="C71" s="3"/>
      <c r="D71" s="33">
        <f>F32*2.5%</f>
        <v>52.335525</v>
      </c>
    </row>
    <row r="72" ht="15.75" customHeight="1">
      <c r="A72" s="7" t="s">
        <v>39</v>
      </c>
      <c r="B72" s="2"/>
      <c r="C72" s="3"/>
      <c r="D72" s="33">
        <f>SUM(D69:D71)</f>
        <v>61.3213253</v>
      </c>
    </row>
    <row r="73" ht="15.75" customHeight="1">
      <c r="A73" s="30"/>
      <c r="B73" s="25"/>
      <c r="C73" s="25"/>
      <c r="D73" s="25"/>
    </row>
    <row r="74" ht="15.75" customHeight="1">
      <c r="A74" s="44" t="s">
        <v>81</v>
      </c>
      <c r="B74" s="28"/>
      <c r="C74" s="28"/>
      <c r="D74" s="28"/>
    </row>
    <row r="75" ht="15.75" customHeight="1">
      <c r="A75" s="55" t="s">
        <v>82</v>
      </c>
      <c r="B75" s="56" t="s">
        <v>83</v>
      </c>
      <c r="C75" s="29"/>
      <c r="D75" s="55" t="s">
        <v>15</v>
      </c>
    </row>
    <row r="76" ht="15.75" customHeight="1">
      <c r="A76" s="8" t="s">
        <v>16</v>
      </c>
      <c r="B76" s="9" t="s">
        <v>83</v>
      </c>
      <c r="C76" s="3"/>
      <c r="D76" s="33">
        <f>F32*1.94%</f>
        <v>40.6123674</v>
      </c>
    </row>
    <row r="77" ht="15.75" customHeight="1">
      <c r="A77" s="8" t="s">
        <v>18</v>
      </c>
      <c r="B77" s="59" t="s">
        <v>84</v>
      </c>
      <c r="C77" s="3"/>
      <c r="D77" s="58">
        <f>D76*2.2%</f>
        <v>0.8934720828</v>
      </c>
    </row>
    <row r="78" ht="15.75" customHeight="1">
      <c r="A78" s="11" t="s">
        <v>20</v>
      </c>
      <c r="B78" s="9" t="s">
        <v>85</v>
      </c>
      <c r="C78" s="3"/>
      <c r="D78" s="33">
        <f>F32*2.5%</f>
        <v>52.335525</v>
      </c>
    </row>
    <row r="79" ht="15.75" customHeight="1">
      <c r="A79" s="7" t="s">
        <v>39</v>
      </c>
      <c r="B79" s="2"/>
      <c r="C79" s="3"/>
      <c r="D79" s="33">
        <f>SUM(D76:D78)</f>
        <v>93.84136448</v>
      </c>
    </row>
    <row r="80" ht="15.75" customHeight="1">
      <c r="A80" s="35"/>
    </row>
    <row r="81" ht="15.75" customHeight="1">
      <c r="A81" s="60" t="s">
        <v>86</v>
      </c>
    </row>
    <row r="82" ht="15.75" customHeight="1"/>
    <row r="83" ht="15.75" customHeight="1">
      <c r="A83" s="44" t="s">
        <v>87</v>
      </c>
      <c r="B83" s="28"/>
      <c r="C83" s="28"/>
      <c r="D83" s="28"/>
    </row>
    <row r="84" ht="15.75" customHeight="1">
      <c r="A84" s="55">
        <v>3.0</v>
      </c>
      <c r="B84" s="56" t="s">
        <v>88</v>
      </c>
      <c r="C84" s="29"/>
      <c r="D84" s="55" t="s">
        <v>15</v>
      </c>
    </row>
    <row r="85" ht="15.75" customHeight="1">
      <c r="A85" s="8" t="s">
        <v>77</v>
      </c>
      <c r="B85" s="9" t="s">
        <v>78</v>
      </c>
      <c r="C85" s="3"/>
      <c r="D85" s="33">
        <f>D72</f>
        <v>61.3213253</v>
      </c>
    </row>
    <row r="86" ht="15.75" customHeight="1">
      <c r="A86" s="8" t="s">
        <v>82</v>
      </c>
      <c r="B86" s="9" t="s">
        <v>83</v>
      </c>
      <c r="C86" s="3"/>
      <c r="D86" s="33">
        <f>D79</f>
        <v>93.84136448</v>
      </c>
    </row>
    <row r="87" ht="15.75" customHeight="1">
      <c r="A87" s="7" t="s">
        <v>39</v>
      </c>
      <c r="B87" s="2"/>
      <c r="C87" s="3"/>
      <c r="D87" s="61">
        <f>SUM(D85:D86)</f>
        <v>155.1626898</v>
      </c>
    </row>
    <row r="88" ht="15.75" customHeight="1">
      <c r="A88" s="31"/>
      <c r="B88" s="28"/>
      <c r="C88" s="28"/>
      <c r="D88" s="28"/>
    </row>
    <row r="89" ht="15.75" customHeight="1">
      <c r="A89" s="62" t="s">
        <v>89</v>
      </c>
      <c r="B89" s="63"/>
      <c r="C89" s="63"/>
      <c r="D89" s="64"/>
    </row>
    <row r="90" ht="15.75" customHeight="1">
      <c r="A90" s="34"/>
    </row>
    <row r="91" ht="15.75" customHeight="1">
      <c r="A91" s="44" t="s">
        <v>90</v>
      </c>
      <c r="B91" s="28"/>
      <c r="C91" s="28"/>
      <c r="D91" s="28"/>
    </row>
    <row r="92" ht="15.75" customHeight="1">
      <c r="A92" s="55" t="s">
        <v>91</v>
      </c>
      <c r="B92" s="56" t="s">
        <v>92</v>
      </c>
      <c r="C92" s="29"/>
      <c r="D92" s="55" t="s">
        <v>15</v>
      </c>
    </row>
    <row r="93" ht="15.75" customHeight="1">
      <c r="A93" s="8" t="s">
        <v>16</v>
      </c>
      <c r="B93" s="9" t="s">
        <v>47</v>
      </c>
      <c r="C93" s="3"/>
      <c r="D93" s="65">
        <f>F32*9.075%</f>
        <v>189.9779558</v>
      </c>
    </row>
    <row r="94" ht="15.75" customHeight="1">
      <c r="A94" s="8" t="s">
        <v>18</v>
      </c>
      <c r="B94" s="9" t="s">
        <v>93</v>
      </c>
      <c r="C94" s="3"/>
      <c r="D94" s="19">
        <f>(1*1)*(365/365)*((D25+D63+D87)/30)/12</f>
        <v>12.13727516</v>
      </c>
    </row>
    <row r="95" ht="15.75" customHeight="1">
      <c r="A95" s="8" t="s">
        <v>20</v>
      </c>
      <c r="B95" s="9" t="s">
        <v>94</v>
      </c>
      <c r="C95" s="3"/>
      <c r="D95" s="19">
        <f>(0.5*5)*(0.5)*((D25+D63+D87)/30)/12</f>
        <v>15.17159395</v>
      </c>
    </row>
    <row r="96" ht="15.75" customHeight="1">
      <c r="A96" s="8" t="s">
        <v>23</v>
      </c>
      <c r="B96" s="66" t="s">
        <v>95</v>
      </c>
      <c r="C96" s="3"/>
      <c r="D96" s="19">
        <f>(0.0922*15)*(0.5)*((D25+D63+D87)/30)/12</f>
        <v>8.392925774</v>
      </c>
    </row>
    <row r="97" ht="15.75" customHeight="1">
      <c r="A97" s="8" t="s">
        <v>25</v>
      </c>
      <c r="B97" s="66" t="s">
        <v>96</v>
      </c>
      <c r="C97" s="3"/>
      <c r="D97" s="19">
        <f>(1*5)*(0.5)*((D25+D63+D87)/30)/12</f>
        <v>30.3431879</v>
      </c>
    </row>
    <row r="98" ht="15.75" customHeight="1">
      <c r="A98" s="8" t="s">
        <v>27</v>
      </c>
      <c r="B98" s="66" t="s">
        <v>97</v>
      </c>
      <c r="C98" s="3"/>
      <c r="D98" s="19">
        <f>(0.1344*2)*(365/365)*((D25+D63+D87)/30)/12</f>
        <v>3.262499563</v>
      </c>
    </row>
    <row r="99" ht="15.75" customHeight="1">
      <c r="A99" s="8" t="s">
        <v>29</v>
      </c>
      <c r="B99" s="66" t="s">
        <v>98</v>
      </c>
      <c r="C99" s="3"/>
      <c r="D99" s="19">
        <f>(0.0305*2)*(0.5)*((D25+D63+D87)/30)/12</f>
        <v>0.3701868924</v>
      </c>
    </row>
    <row r="100" ht="15.75" customHeight="1">
      <c r="A100" s="8" t="s">
        <v>31</v>
      </c>
      <c r="B100" s="66" t="s">
        <v>99</v>
      </c>
      <c r="C100" s="3"/>
      <c r="D100" s="19">
        <f>(0.0118*3)*(0.5)*((D25+D63+D87)/30)/12</f>
        <v>0.2148297703</v>
      </c>
    </row>
    <row r="101" ht="15.75" customHeight="1">
      <c r="A101" s="8" t="s">
        <v>33</v>
      </c>
      <c r="B101" s="66" t="s">
        <v>100</v>
      </c>
      <c r="C101" s="3"/>
      <c r="D101" s="19">
        <f>(0.02*1)*(365/365)*((D25+D63+D87)/30)/12</f>
        <v>0.2427455032</v>
      </c>
    </row>
    <row r="102" ht="15.75" customHeight="1">
      <c r="A102" s="8" t="s">
        <v>35</v>
      </c>
      <c r="B102" s="66" t="s">
        <v>101</v>
      </c>
      <c r="C102" s="3"/>
      <c r="D102" s="19">
        <f>(0.004*1)*(365/365)*((D25+D63+D87)/30)/12</f>
        <v>0.04854910064</v>
      </c>
    </row>
    <row r="103" ht="15.75" customHeight="1">
      <c r="A103" s="8" t="s">
        <v>37</v>
      </c>
      <c r="B103" s="66" t="s">
        <v>102</v>
      </c>
      <c r="C103" s="3"/>
      <c r="D103" s="19">
        <f>(0.0325*20)*(0.5)*((D25+D63+D87)/30)/12</f>
        <v>3.944614427</v>
      </c>
    </row>
    <row r="104" ht="15.75" customHeight="1">
      <c r="A104" s="8" t="s">
        <v>103</v>
      </c>
      <c r="B104" s="66" t="s">
        <v>104</v>
      </c>
      <c r="C104" s="3"/>
      <c r="D104" s="19">
        <f>(0.0028*180)*(0.5)*((D25+D63+D87)/30)/12</f>
        <v>3.05859334</v>
      </c>
    </row>
    <row r="105" ht="15.75" customHeight="1">
      <c r="A105" s="8" t="s">
        <v>105</v>
      </c>
      <c r="B105" s="66" t="s">
        <v>106</v>
      </c>
      <c r="C105" s="3"/>
      <c r="D105" s="19">
        <f>(0.0002*6)*(365/365)*((D25+D63+D87)/30)/12</f>
        <v>0.01456473019</v>
      </c>
    </row>
    <row r="106" ht="15.75" customHeight="1">
      <c r="A106" s="7" t="s">
        <v>39</v>
      </c>
      <c r="B106" s="2"/>
      <c r="C106" s="3"/>
      <c r="D106" s="19">
        <f>SUM(D93:D105)</f>
        <v>267.1795219</v>
      </c>
    </row>
    <row r="107" ht="15.75" customHeight="1">
      <c r="A107" s="30"/>
      <c r="B107" s="25"/>
      <c r="C107" s="25"/>
      <c r="D107" s="25"/>
    </row>
    <row r="108" ht="15.75" customHeight="1">
      <c r="A108" s="44" t="s">
        <v>107</v>
      </c>
      <c r="B108" s="28"/>
      <c r="C108" s="28"/>
      <c r="D108" s="28"/>
    </row>
    <row r="109" ht="21.75" customHeight="1">
      <c r="A109" s="55" t="s">
        <v>108</v>
      </c>
      <c r="B109" s="56" t="s">
        <v>109</v>
      </c>
      <c r="C109" s="29"/>
      <c r="D109" s="55" t="s">
        <v>15</v>
      </c>
    </row>
    <row r="110" ht="15.75" customHeight="1">
      <c r="A110" s="8" t="s">
        <v>16</v>
      </c>
      <c r="B110" s="9" t="s">
        <v>110</v>
      </c>
      <c r="C110" s="3"/>
      <c r="D110" s="19">
        <f>((D25/180)*1.5)*15</f>
        <v>290.668334</v>
      </c>
    </row>
    <row r="111" ht="15.75" customHeight="1">
      <c r="A111" s="7" t="s">
        <v>39</v>
      </c>
      <c r="B111" s="2"/>
      <c r="C111" s="3"/>
      <c r="D111" s="19">
        <f>SUM(D110)</f>
        <v>290.668334</v>
      </c>
    </row>
    <row r="112" ht="15.75" customHeight="1">
      <c r="A112" s="30"/>
      <c r="B112" s="25"/>
      <c r="C112" s="25"/>
      <c r="D112" s="25"/>
    </row>
    <row r="113" ht="15.75" customHeight="1">
      <c r="A113" s="44" t="s">
        <v>111</v>
      </c>
      <c r="B113" s="28"/>
      <c r="C113" s="28"/>
      <c r="D113" s="28"/>
    </row>
    <row r="114" ht="15.75" customHeight="1">
      <c r="A114" s="55">
        <v>4.0</v>
      </c>
      <c r="B114" s="56" t="s">
        <v>112</v>
      </c>
      <c r="C114" s="29"/>
      <c r="D114" s="55" t="s">
        <v>15</v>
      </c>
    </row>
    <row r="115" ht="15.75" customHeight="1">
      <c r="A115" s="8" t="s">
        <v>91</v>
      </c>
      <c r="B115" s="9" t="s">
        <v>92</v>
      </c>
      <c r="C115" s="3"/>
      <c r="D115" s="33">
        <f>D106</f>
        <v>267.1795219</v>
      </c>
    </row>
    <row r="116" ht="15.75" customHeight="1">
      <c r="A116" s="8" t="s">
        <v>108</v>
      </c>
      <c r="B116" s="9" t="s">
        <v>109</v>
      </c>
      <c r="C116" s="3"/>
      <c r="D116" s="33">
        <f>D111</f>
        <v>290.668334</v>
      </c>
    </row>
    <row r="117" ht="15.75" customHeight="1">
      <c r="A117" s="7" t="s">
        <v>39</v>
      </c>
      <c r="B117" s="2"/>
      <c r="C117" s="3"/>
      <c r="D117" s="61">
        <f>SUM(D115:D116)</f>
        <v>557.8478559</v>
      </c>
    </row>
    <row r="118" ht="15.75" customHeight="1">
      <c r="A118" s="15"/>
      <c r="B118" s="2"/>
      <c r="C118" s="2"/>
      <c r="D118" s="2"/>
    </row>
    <row r="119" ht="15.75" customHeight="1">
      <c r="A119" s="53" t="s">
        <v>113</v>
      </c>
      <c r="B119" s="2"/>
      <c r="C119" s="2"/>
      <c r="D119" s="3"/>
    </row>
    <row r="120" ht="15.75" customHeight="1">
      <c r="A120" s="17"/>
      <c r="B120" s="2"/>
      <c r="C120" s="2"/>
      <c r="D120" s="2"/>
    </row>
    <row r="121" ht="15.75" customHeight="1">
      <c r="A121" s="18">
        <v>5.0</v>
      </c>
      <c r="B121" s="7" t="s">
        <v>114</v>
      </c>
      <c r="C121" s="3"/>
      <c r="D121" s="18" t="s">
        <v>15</v>
      </c>
      <c r="F121" s="67" t="s">
        <v>115</v>
      </c>
    </row>
    <row r="122" ht="15.75" customHeight="1">
      <c r="A122" s="8" t="s">
        <v>16</v>
      </c>
      <c r="B122" s="9" t="s">
        <v>116</v>
      </c>
      <c r="C122" s="3"/>
      <c r="D122" s="33">
        <f>Uniformes!E13</f>
        <v>59.89416667</v>
      </c>
      <c r="F122" s="33">
        <f>(((D146+D130+D131)/(1-8.65%)))</f>
        <v>6264.052517</v>
      </c>
    </row>
    <row r="123" ht="15.75" customHeight="1">
      <c r="A123" s="8" t="s">
        <v>18</v>
      </c>
      <c r="B123" s="9" t="s">
        <v>117</v>
      </c>
      <c r="C123" s="3"/>
      <c r="D123" s="33">
        <f>'Utensílios e materiais'!F9</f>
        <v>2.71671875</v>
      </c>
      <c r="F123" s="67" t="s">
        <v>118</v>
      </c>
    </row>
    <row r="124" ht="15.75" customHeight="1">
      <c r="A124" s="8" t="s">
        <v>20</v>
      </c>
      <c r="B124" s="9" t="s">
        <v>119</v>
      </c>
      <c r="C124" s="3"/>
      <c r="D124" s="33">
        <f>Equipamentos!F11</f>
        <v>8.560333333</v>
      </c>
      <c r="F124" s="68">
        <f>((D146+F130+F131)/(1-14.25%))</f>
        <v>6673.133497</v>
      </c>
    </row>
    <row r="125" ht="15.75" customHeight="1">
      <c r="A125" s="7" t="s">
        <v>39</v>
      </c>
      <c r="B125" s="2"/>
      <c r="C125" s="3"/>
      <c r="D125" s="61">
        <f>SUM(D122:D124)</f>
        <v>71.17121875</v>
      </c>
    </row>
    <row r="126" ht="15.75" customHeight="1">
      <c r="A126" s="69"/>
      <c r="B126" s="28"/>
      <c r="C126" s="28"/>
      <c r="D126" s="28"/>
    </row>
    <row r="127" ht="15.75" customHeight="1">
      <c r="A127" s="53" t="s">
        <v>120</v>
      </c>
      <c r="B127" s="2"/>
      <c r="C127" s="2"/>
      <c r="D127" s="3"/>
    </row>
    <row r="128" ht="15.75" customHeight="1">
      <c r="A128" s="17"/>
      <c r="B128" s="17"/>
      <c r="C128" s="70" t="s">
        <v>121</v>
      </c>
      <c r="D128" s="2"/>
      <c r="E128" s="71" t="s">
        <v>122</v>
      </c>
      <c r="F128" s="3"/>
    </row>
    <row r="129" ht="15.75" customHeight="1">
      <c r="A129" s="18">
        <v>6.0</v>
      </c>
      <c r="B129" s="18" t="s">
        <v>114</v>
      </c>
      <c r="C129" s="18" t="s">
        <v>123</v>
      </c>
      <c r="D129" s="18" t="s">
        <v>15</v>
      </c>
      <c r="E129" s="18" t="s">
        <v>123</v>
      </c>
      <c r="F129" s="18" t="s">
        <v>15</v>
      </c>
    </row>
    <row r="130" ht="15.75" customHeight="1">
      <c r="A130" s="8" t="s">
        <v>16</v>
      </c>
      <c r="B130" s="38" t="s">
        <v>124</v>
      </c>
      <c r="C130" s="50">
        <v>6.0</v>
      </c>
      <c r="D130" s="33">
        <f>(D146*C130)*0.01</f>
        <v>299.9062879</v>
      </c>
      <c r="E130" s="72">
        <v>6.0</v>
      </c>
      <c r="F130" s="33">
        <f>D146*6%</f>
        <v>299.9062879</v>
      </c>
    </row>
    <row r="131" ht="15.75" customHeight="1">
      <c r="A131" s="8" t="s">
        <v>18</v>
      </c>
      <c r="B131" s="38" t="s">
        <v>125</v>
      </c>
      <c r="C131" s="50">
        <v>8.0</v>
      </c>
      <c r="D131" s="33">
        <f>(D146+D130)*0.01*C131</f>
        <v>423.8675536</v>
      </c>
      <c r="E131" s="72">
        <v>8.0</v>
      </c>
      <c r="F131" s="33">
        <f>(D146+F130)*E131*0.01</f>
        <v>423.8675536</v>
      </c>
    </row>
    <row r="132" ht="15.75" customHeight="1">
      <c r="A132" s="8" t="s">
        <v>20</v>
      </c>
      <c r="B132" s="38" t="s">
        <v>126</v>
      </c>
      <c r="C132" s="33">
        <f>SUM(C133:C135)</f>
        <v>8.65</v>
      </c>
      <c r="D132" s="73"/>
      <c r="E132" s="72">
        <f>SUM(E133:E135)</f>
        <v>14.25</v>
      </c>
      <c r="F132" s="33"/>
    </row>
    <row r="133" ht="15.75" customHeight="1">
      <c r="A133" s="8"/>
      <c r="B133" s="38" t="s">
        <v>127</v>
      </c>
      <c r="C133" s="33">
        <v>3.65</v>
      </c>
      <c r="D133" s="33">
        <f>F122*3.65%</f>
        <v>228.6379169</v>
      </c>
      <c r="E133" s="72">
        <f>1.65+7.6</f>
        <v>9.25</v>
      </c>
      <c r="F133" s="58">
        <f>F124*9.25%</f>
        <v>617.2648485</v>
      </c>
    </row>
    <row r="134" ht="15.75" customHeight="1">
      <c r="A134" s="8"/>
      <c r="B134" s="38" t="s">
        <v>128</v>
      </c>
      <c r="C134" s="33"/>
      <c r="D134" s="33"/>
      <c r="E134" s="74"/>
      <c r="F134" s="58"/>
    </row>
    <row r="135" ht="15.75" customHeight="1">
      <c r="A135" s="8"/>
      <c r="B135" s="38" t="s">
        <v>129</v>
      </c>
      <c r="C135" s="33">
        <v>5.0</v>
      </c>
      <c r="D135" s="33">
        <f>F122*5%</f>
        <v>313.2026258</v>
      </c>
      <c r="E135" s="72">
        <v>5.0</v>
      </c>
      <c r="F135" s="58">
        <f>F124*5%</f>
        <v>333.6566749</v>
      </c>
    </row>
    <row r="136" ht="15.75" customHeight="1">
      <c r="A136" s="7" t="s">
        <v>39</v>
      </c>
      <c r="B136" s="3"/>
      <c r="C136" s="19">
        <f>SUM(C130:C132)</f>
        <v>22.65</v>
      </c>
      <c r="D136" s="23">
        <f>SUM(D130:D135)</f>
        <v>1265.614384</v>
      </c>
      <c r="E136" s="74">
        <f>SUM(E130:E132)</f>
        <v>28.25</v>
      </c>
      <c r="F136" s="58">
        <f>SUM(F130:F135)</f>
        <v>1674.695365</v>
      </c>
    </row>
    <row r="137" ht="15.75" customHeight="1">
      <c r="A137" s="34"/>
    </row>
    <row r="138" ht="15.0" customHeight="1">
      <c r="A138" s="75" t="s">
        <v>130</v>
      </c>
      <c r="B138" s="2"/>
      <c r="C138" s="2"/>
      <c r="D138" s="3"/>
    </row>
    <row r="139" ht="15.75" customHeight="1">
      <c r="A139" s="17"/>
      <c r="B139" s="2"/>
      <c r="C139" s="2"/>
      <c r="D139" s="2"/>
    </row>
    <row r="140" ht="15.75" customHeight="1">
      <c r="A140" s="7" t="s">
        <v>131</v>
      </c>
      <c r="B140" s="2"/>
      <c r="C140" s="3"/>
      <c r="D140" s="18" t="s">
        <v>15</v>
      </c>
      <c r="F140" s="18" t="s">
        <v>15</v>
      </c>
    </row>
    <row r="141" ht="15.75" customHeight="1">
      <c r="A141" s="18" t="s">
        <v>16</v>
      </c>
      <c r="B141" s="9" t="s">
        <v>13</v>
      </c>
      <c r="C141" s="3"/>
      <c r="D141" s="19">
        <f>D25</f>
        <v>2325.346672</v>
      </c>
      <c r="F141" s="19">
        <f t="shared" ref="F141:F145" si="2">D141</f>
        <v>2325.346672</v>
      </c>
    </row>
    <row r="142" ht="15.75" customHeight="1">
      <c r="A142" s="18" t="s">
        <v>18</v>
      </c>
      <c r="B142" s="9" t="s">
        <v>41</v>
      </c>
      <c r="C142" s="3"/>
      <c r="D142" s="19">
        <f>D63</f>
        <v>1888.909696</v>
      </c>
      <c r="F142" s="19">
        <f t="shared" si="2"/>
        <v>1888.909696</v>
      </c>
    </row>
    <row r="143" ht="15.75" customHeight="1">
      <c r="A143" s="18" t="s">
        <v>20</v>
      </c>
      <c r="B143" s="9" t="s">
        <v>75</v>
      </c>
      <c r="C143" s="3"/>
      <c r="D143" s="19">
        <f>D87</f>
        <v>155.1626898</v>
      </c>
      <c r="F143" s="19">
        <f t="shared" si="2"/>
        <v>155.1626898</v>
      </c>
    </row>
    <row r="144" ht="15.75" customHeight="1">
      <c r="A144" s="18" t="s">
        <v>23</v>
      </c>
      <c r="B144" s="9" t="s">
        <v>89</v>
      </c>
      <c r="C144" s="3"/>
      <c r="D144" s="19">
        <f>D117</f>
        <v>557.8478559</v>
      </c>
      <c r="F144" s="19">
        <f t="shared" si="2"/>
        <v>557.8478559</v>
      </c>
    </row>
    <row r="145" ht="15.75" customHeight="1">
      <c r="A145" s="18" t="s">
        <v>25</v>
      </c>
      <c r="B145" s="9" t="s">
        <v>113</v>
      </c>
      <c r="C145" s="3"/>
      <c r="D145" s="19">
        <f>D125</f>
        <v>71.17121875</v>
      </c>
      <c r="F145" s="19">
        <f t="shared" si="2"/>
        <v>71.17121875</v>
      </c>
    </row>
    <row r="146" ht="15.75" customHeight="1">
      <c r="A146" s="7" t="s">
        <v>132</v>
      </c>
      <c r="B146" s="2"/>
      <c r="C146" s="3"/>
      <c r="D146" s="19">
        <f>SUM(D141:D145)</f>
        <v>4998.438132</v>
      </c>
      <c r="F146" s="19">
        <f>SUM(F141:F145)</f>
        <v>4998.438132</v>
      </c>
    </row>
    <row r="147" ht="15.75" customHeight="1">
      <c r="A147" s="18" t="s">
        <v>27</v>
      </c>
      <c r="B147" s="9" t="s">
        <v>120</v>
      </c>
      <c r="C147" s="3"/>
      <c r="D147" s="19">
        <f>D136</f>
        <v>1265.614384</v>
      </c>
      <c r="F147" s="19">
        <f>F136</f>
        <v>1674.695365</v>
      </c>
    </row>
    <row r="148" ht="15.75" customHeight="1">
      <c r="A148" s="7" t="s">
        <v>133</v>
      </c>
      <c r="B148" s="2"/>
      <c r="C148" s="3"/>
      <c r="D148" s="23">
        <f>ROUND(SUM(D146:D147),2)</f>
        <v>6264.05</v>
      </c>
      <c r="F148" s="23">
        <f>ROUND(SUM(F146:F147),2)</f>
        <v>6673.13</v>
      </c>
    </row>
    <row r="149" ht="15.75" customHeight="1">
      <c r="A149" s="7" t="s">
        <v>134</v>
      </c>
      <c r="B149" s="2"/>
      <c r="C149" s="3"/>
      <c r="D149" s="23">
        <f>2*D148</f>
        <v>12528.1</v>
      </c>
      <c r="F149" s="23">
        <f>2*F148</f>
        <v>13346.26</v>
      </c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34">
    <mergeCell ref="A1:D1"/>
    <mergeCell ref="A2:D2"/>
    <mergeCell ref="A3:D3"/>
    <mergeCell ref="B4:C4"/>
    <mergeCell ref="B5:C5"/>
    <mergeCell ref="B6:C6"/>
    <mergeCell ref="B7:C7"/>
    <mergeCell ref="B8:C8"/>
    <mergeCell ref="B9:C9"/>
    <mergeCell ref="A10:D10"/>
    <mergeCell ref="A11:D11"/>
    <mergeCell ref="A12:D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5:C25"/>
    <mergeCell ref="A26:D27"/>
    <mergeCell ref="A29:D29"/>
    <mergeCell ref="A30:D30"/>
    <mergeCell ref="A31:D31"/>
    <mergeCell ref="B32:C32"/>
    <mergeCell ref="B33:C33"/>
    <mergeCell ref="B34:C34"/>
    <mergeCell ref="A35:C35"/>
    <mergeCell ref="A36:D36"/>
    <mergeCell ref="A37:D37"/>
    <mergeCell ref="A47:B47"/>
    <mergeCell ref="A48:D48"/>
    <mergeCell ref="A49:D49"/>
    <mergeCell ref="B50:C50"/>
    <mergeCell ref="F50:G50"/>
    <mergeCell ref="B51:C51"/>
    <mergeCell ref="F52:G52"/>
    <mergeCell ref="B52:C52"/>
    <mergeCell ref="B53:C53"/>
    <mergeCell ref="B54:C54"/>
    <mergeCell ref="F54:G54"/>
    <mergeCell ref="B55:C55"/>
    <mergeCell ref="A56:C56"/>
    <mergeCell ref="A57:D57"/>
    <mergeCell ref="B101:C101"/>
    <mergeCell ref="B102:C102"/>
    <mergeCell ref="B103:C103"/>
    <mergeCell ref="B104:C104"/>
    <mergeCell ref="B105:C105"/>
    <mergeCell ref="A106:C106"/>
    <mergeCell ref="A107:D107"/>
    <mergeCell ref="A108:D108"/>
    <mergeCell ref="B109:C109"/>
    <mergeCell ref="B110:C110"/>
    <mergeCell ref="A111:C111"/>
    <mergeCell ref="A112:D112"/>
    <mergeCell ref="A113:D113"/>
    <mergeCell ref="B114:C114"/>
    <mergeCell ref="E128:F128"/>
    <mergeCell ref="B115:C115"/>
    <mergeCell ref="B116:C116"/>
    <mergeCell ref="A117:C117"/>
    <mergeCell ref="A118:D118"/>
    <mergeCell ref="A119:D119"/>
    <mergeCell ref="A120:D120"/>
    <mergeCell ref="B121:C121"/>
    <mergeCell ref="B122:C122"/>
    <mergeCell ref="B123:C123"/>
    <mergeCell ref="B124:C124"/>
    <mergeCell ref="A125:C125"/>
    <mergeCell ref="A126:D126"/>
    <mergeCell ref="A127:D127"/>
    <mergeCell ref="C128:D128"/>
    <mergeCell ref="A58:D58"/>
    <mergeCell ref="B59:C59"/>
    <mergeCell ref="B60:C60"/>
    <mergeCell ref="B61:C61"/>
    <mergeCell ref="B62:C62"/>
    <mergeCell ref="A63:C63"/>
    <mergeCell ref="A64:D64"/>
    <mergeCell ref="A65:D65"/>
    <mergeCell ref="A66:D66"/>
    <mergeCell ref="A67:D67"/>
    <mergeCell ref="B68:C68"/>
    <mergeCell ref="B69:C69"/>
    <mergeCell ref="B70:C70"/>
    <mergeCell ref="B71:C71"/>
    <mergeCell ref="A72:C72"/>
    <mergeCell ref="A73:D73"/>
    <mergeCell ref="A74:D74"/>
    <mergeCell ref="B75:C75"/>
    <mergeCell ref="B76:C76"/>
    <mergeCell ref="B77:C77"/>
    <mergeCell ref="B78:C78"/>
    <mergeCell ref="A79:C79"/>
    <mergeCell ref="A80:D80"/>
    <mergeCell ref="A81:D82"/>
    <mergeCell ref="A83:D83"/>
    <mergeCell ref="B84:C84"/>
    <mergeCell ref="B85:C85"/>
    <mergeCell ref="B86:C86"/>
    <mergeCell ref="A87:C87"/>
    <mergeCell ref="A88:D88"/>
    <mergeCell ref="A89:D89"/>
    <mergeCell ref="A90:D90"/>
    <mergeCell ref="A91:D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43:C143"/>
    <mergeCell ref="B144:C144"/>
    <mergeCell ref="B145:C145"/>
    <mergeCell ref="A146:C146"/>
    <mergeCell ref="B147:C147"/>
    <mergeCell ref="A148:C148"/>
    <mergeCell ref="A149:C149"/>
    <mergeCell ref="A136:B136"/>
    <mergeCell ref="A137:D137"/>
    <mergeCell ref="A138:D138"/>
    <mergeCell ref="A139:D139"/>
    <mergeCell ref="A140:C140"/>
    <mergeCell ref="B141:C141"/>
    <mergeCell ref="B142:C142"/>
  </mergeCells>
  <printOptions/>
  <pageMargins bottom="0.787401575" footer="0.0" header="0.0" left="0.511811024" right="0.511811024" top="0.787401575"/>
  <pageSetup paperSize="9" scale="6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8.57"/>
    <col customWidth="1" min="3" max="3" width="11.43"/>
    <col customWidth="1" min="4" max="4" width="24.43"/>
    <col customWidth="1" min="5" max="5" width="10.43"/>
    <col customWidth="1" min="6" max="6" width="21.86"/>
    <col customWidth="1" min="7" max="7" width="10.14"/>
    <col customWidth="1" min="8" max="8" width="18.86"/>
    <col customWidth="1" min="9" max="26" width="8.86"/>
  </cols>
  <sheetData>
    <row r="1">
      <c r="A1" s="1" t="s">
        <v>0</v>
      </c>
      <c r="B1" s="2"/>
      <c r="C1" s="2"/>
      <c r="D1" s="3"/>
    </row>
    <row r="2">
      <c r="A2" s="4"/>
      <c r="B2" s="5"/>
      <c r="C2" s="5"/>
      <c r="D2" s="6"/>
    </row>
    <row r="3">
      <c r="A3" s="7" t="s">
        <v>1</v>
      </c>
      <c r="B3" s="2"/>
      <c r="C3" s="2"/>
      <c r="D3" s="3"/>
    </row>
    <row r="4">
      <c r="A4" s="8">
        <v>1.0</v>
      </c>
      <c r="B4" s="9" t="s">
        <v>2</v>
      </c>
      <c r="C4" s="3"/>
      <c r="D4" s="8" t="s">
        <v>3</v>
      </c>
    </row>
    <row r="5">
      <c r="A5" s="8">
        <v>2.0</v>
      </c>
      <c r="B5" s="9" t="s">
        <v>4</v>
      </c>
      <c r="C5" s="3"/>
      <c r="D5" s="8" t="s">
        <v>5</v>
      </c>
    </row>
    <row r="6">
      <c r="A6" s="8">
        <v>3.0</v>
      </c>
      <c r="B6" s="9" t="s">
        <v>6</v>
      </c>
      <c r="C6" s="3"/>
      <c r="D6" s="10">
        <v>1268.74</v>
      </c>
    </row>
    <row r="7">
      <c r="A7" s="8">
        <v>4.0</v>
      </c>
      <c r="B7" s="9" t="s">
        <v>7</v>
      </c>
      <c r="C7" s="3"/>
      <c r="D7" s="11" t="s">
        <v>135</v>
      </c>
    </row>
    <row r="8">
      <c r="A8" s="8">
        <v>5.0</v>
      </c>
      <c r="B8" s="9" t="s">
        <v>9</v>
      </c>
      <c r="C8" s="3"/>
      <c r="D8" s="11" t="s">
        <v>10</v>
      </c>
      <c r="E8" s="12"/>
    </row>
    <row r="9">
      <c r="A9" s="8">
        <v>6.0</v>
      </c>
      <c r="B9" s="13" t="s">
        <v>11</v>
      </c>
      <c r="C9" s="3"/>
      <c r="D9" s="14" t="s">
        <v>12</v>
      </c>
    </row>
    <row r="10">
      <c r="A10" s="15"/>
      <c r="B10" s="2"/>
      <c r="C10" s="2"/>
      <c r="D10" s="2"/>
    </row>
    <row r="11">
      <c r="A11" s="16" t="s">
        <v>13</v>
      </c>
      <c r="B11" s="2"/>
      <c r="C11" s="2"/>
      <c r="D11" s="3"/>
    </row>
    <row r="12">
      <c r="A12" s="17"/>
      <c r="B12" s="2"/>
      <c r="C12" s="2"/>
      <c r="D12" s="2"/>
    </row>
    <row r="13">
      <c r="A13" s="18">
        <v>1.0</v>
      </c>
      <c r="B13" s="7" t="s">
        <v>14</v>
      </c>
      <c r="C13" s="3"/>
      <c r="D13" s="18" t="s">
        <v>15</v>
      </c>
    </row>
    <row r="14">
      <c r="A14" s="8" t="s">
        <v>16</v>
      </c>
      <c r="B14" s="9" t="s">
        <v>17</v>
      </c>
      <c r="C14" s="3"/>
      <c r="D14" s="19">
        <f>D6</f>
        <v>1268.74</v>
      </c>
    </row>
    <row r="15">
      <c r="A15" s="8" t="s">
        <v>18</v>
      </c>
      <c r="B15" s="9" t="s">
        <v>19</v>
      </c>
      <c r="C15" s="3"/>
      <c r="D15" s="19">
        <f>0.3*D14</f>
        <v>380.622</v>
      </c>
    </row>
    <row r="16">
      <c r="A16" s="8" t="s">
        <v>20</v>
      </c>
      <c r="B16" s="9" t="s">
        <v>21</v>
      </c>
      <c r="C16" s="3"/>
      <c r="D16" s="19" t="s">
        <v>22</v>
      </c>
    </row>
    <row r="17">
      <c r="A17" s="8" t="s">
        <v>23</v>
      </c>
      <c r="B17" s="9" t="s">
        <v>24</v>
      </c>
      <c r="C17" s="3"/>
      <c r="D17" s="19" t="s">
        <v>22</v>
      </c>
    </row>
    <row r="18">
      <c r="A18" s="8" t="s">
        <v>25</v>
      </c>
      <c r="B18" s="9" t="s">
        <v>26</v>
      </c>
      <c r="C18" s="3"/>
      <c r="D18" s="19" t="s">
        <v>22</v>
      </c>
    </row>
    <row r="19">
      <c r="A19" s="8" t="s">
        <v>27</v>
      </c>
      <c r="B19" s="9" t="s">
        <v>28</v>
      </c>
      <c r="C19" s="3"/>
      <c r="D19" s="19" t="s">
        <v>22</v>
      </c>
    </row>
    <row r="20">
      <c r="A20" s="11" t="s">
        <v>29</v>
      </c>
      <c r="B20" s="13" t="s">
        <v>30</v>
      </c>
      <c r="C20" s="3"/>
      <c r="D20" s="76" t="s">
        <v>22</v>
      </c>
    </row>
    <row r="21">
      <c r="A21" s="11" t="s">
        <v>31</v>
      </c>
      <c r="B21" s="13" t="s">
        <v>32</v>
      </c>
      <c r="C21" s="3"/>
      <c r="D21" s="20" t="s">
        <v>22</v>
      </c>
    </row>
    <row r="22">
      <c r="A22" s="11" t="s">
        <v>33</v>
      </c>
      <c r="B22" s="13" t="s">
        <v>34</v>
      </c>
      <c r="C22" s="3"/>
      <c r="D22" s="21">
        <f>D14*14.03%</f>
        <v>178.004222</v>
      </c>
    </row>
    <row r="23">
      <c r="A23" s="11" t="s">
        <v>35</v>
      </c>
      <c r="B23" s="13" t="s">
        <v>36</v>
      </c>
      <c r="C23" s="3"/>
      <c r="D23" s="22">
        <f>D14*0.51/12</f>
        <v>53.92145</v>
      </c>
    </row>
    <row r="24">
      <c r="A24" s="11" t="s">
        <v>37</v>
      </c>
      <c r="B24" s="13" t="s">
        <v>38</v>
      </c>
      <c r="C24" s="3"/>
      <c r="D24" s="22" t="s">
        <v>22</v>
      </c>
    </row>
    <row r="25">
      <c r="A25" s="7" t="s">
        <v>39</v>
      </c>
      <c r="B25" s="2"/>
      <c r="C25" s="3"/>
      <c r="D25" s="23">
        <f>SUM(D14:D24)</f>
        <v>1881.287672</v>
      </c>
    </row>
    <row r="26" ht="15.75" customHeight="1">
      <c r="A26" s="77" t="s">
        <v>40</v>
      </c>
      <c r="B26" s="2"/>
      <c r="C26" s="2"/>
      <c r="D26" s="3"/>
    </row>
    <row r="27" ht="15.75" customHeight="1">
      <c r="A27" s="16" t="s">
        <v>41</v>
      </c>
      <c r="B27" s="2"/>
      <c r="C27" s="2"/>
      <c r="D27" s="3"/>
    </row>
    <row r="28" ht="15.75" customHeight="1">
      <c r="A28" s="30"/>
      <c r="B28" s="25"/>
      <c r="C28" s="25"/>
      <c r="D28" s="25"/>
    </row>
    <row r="29" ht="15.75" customHeight="1">
      <c r="A29" s="31" t="s">
        <v>42</v>
      </c>
      <c r="B29" s="28"/>
      <c r="C29" s="28"/>
      <c r="D29" s="28"/>
      <c r="F29" s="20" t="s">
        <v>43</v>
      </c>
    </row>
    <row r="30" ht="15.75" customHeight="1">
      <c r="A30" s="18" t="s">
        <v>44</v>
      </c>
      <c r="B30" s="7" t="s">
        <v>45</v>
      </c>
      <c r="C30" s="3"/>
      <c r="D30" s="18" t="s">
        <v>15</v>
      </c>
      <c r="F30" s="32">
        <f>SUM(D14:D20)</f>
        <v>1649.362</v>
      </c>
    </row>
    <row r="31" ht="15.75" customHeight="1">
      <c r="A31" s="8" t="s">
        <v>16</v>
      </c>
      <c r="B31" s="9" t="s">
        <v>46</v>
      </c>
      <c r="C31" s="3"/>
      <c r="D31" s="33">
        <f>F30*0.0833</f>
        <v>137.3918546</v>
      </c>
    </row>
    <row r="32" ht="15.75" customHeight="1">
      <c r="A32" s="8" t="s">
        <v>18</v>
      </c>
      <c r="B32" s="13" t="s">
        <v>47</v>
      </c>
      <c r="C32" s="3"/>
      <c r="D32" s="33">
        <f>F30*0.0833</f>
        <v>137.3918546</v>
      </c>
    </row>
    <row r="33" ht="15.75" customHeight="1">
      <c r="A33" s="7" t="s">
        <v>39</v>
      </c>
      <c r="B33" s="2"/>
      <c r="C33" s="3"/>
      <c r="D33" s="33">
        <f>SUM(D31:D32)</f>
        <v>274.7837092</v>
      </c>
    </row>
    <row r="34" ht="15.75" customHeight="1">
      <c r="A34" s="34"/>
    </row>
    <row r="35" ht="23.25" customHeight="1">
      <c r="A35" s="35" t="s">
        <v>48</v>
      </c>
    </row>
    <row r="36" ht="15.75" customHeight="1">
      <c r="A36" s="18" t="s">
        <v>49</v>
      </c>
      <c r="B36" s="18" t="s">
        <v>50</v>
      </c>
      <c r="C36" s="36" t="s">
        <v>51</v>
      </c>
      <c r="D36" s="18" t="s">
        <v>15</v>
      </c>
      <c r="E36" s="37"/>
      <c r="F36" s="36" t="s">
        <v>52</v>
      </c>
      <c r="H36" s="35"/>
      <c r="I36" s="37"/>
      <c r="J36" s="35"/>
    </row>
    <row r="37" ht="15.75" customHeight="1">
      <c r="A37" s="8" t="s">
        <v>16</v>
      </c>
      <c r="B37" s="38" t="s">
        <v>53</v>
      </c>
      <c r="C37" s="39">
        <v>0.2</v>
      </c>
      <c r="D37" s="19">
        <f>F37*C37</f>
        <v>384.8291418</v>
      </c>
      <c r="E37" s="40"/>
      <c r="F37" s="19">
        <f>SUM(D14:D20,D33)</f>
        <v>1924.145709</v>
      </c>
      <c r="G37" s="40"/>
      <c r="H37" s="41"/>
      <c r="I37" s="40"/>
      <c r="J37" s="41"/>
    </row>
    <row r="38" ht="15.75" customHeight="1">
      <c r="A38" s="8" t="s">
        <v>18</v>
      </c>
      <c r="B38" s="38" t="s">
        <v>54</v>
      </c>
      <c r="C38" s="39">
        <v>0.025</v>
      </c>
      <c r="D38" s="19">
        <f>F37*C38</f>
        <v>48.10364273</v>
      </c>
      <c r="E38" s="42"/>
      <c r="F38" s="41"/>
      <c r="G38" s="40"/>
      <c r="H38" s="41"/>
      <c r="I38" s="40"/>
      <c r="J38" s="41"/>
    </row>
    <row r="39" ht="15.75" customHeight="1">
      <c r="A39" s="8" t="s">
        <v>20</v>
      </c>
      <c r="B39" s="38" t="s">
        <v>55</v>
      </c>
      <c r="C39" s="39">
        <v>0.03</v>
      </c>
      <c r="D39" s="19">
        <f>F37*C39</f>
        <v>57.72437128</v>
      </c>
      <c r="E39" s="40"/>
      <c r="F39" s="41"/>
      <c r="G39" s="40"/>
      <c r="H39" s="41"/>
      <c r="I39" s="40"/>
      <c r="J39" s="41"/>
    </row>
    <row r="40" ht="15.75" customHeight="1">
      <c r="A40" s="8" t="s">
        <v>23</v>
      </c>
      <c r="B40" s="38" t="s">
        <v>56</v>
      </c>
      <c r="C40" s="39">
        <v>0.015</v>
      </c>
      <c r="D40" s="19">
        <f>F37*C40</f>
        <v>28.86218564</v>
      </c>
      <c r="E40" s="42"/>
      <c r="F40" s="41"/>
      <c r="G40" s="40"/>
      <c r="H40" s="41"/>
      <c r="I40" s="40"/>
      <c r="J40" s="41"/>
    </row>
    <row r="41" ht="15.75" customHeight="1">
      <c r="A41" s="8" t="s">
        <v>25</v>
      </c>
      <c r="B41" s="38" t="s">
        <v>57</v>
      </c>
      <c r="C41" s="39">
        <v>0.01</v>
      </c>
      <c r="D41" s="19">
        <f>F37*C41</f>
        <v>19.24145709</v>
      </c>
      <c r="E41" s="42"/>
      <c r="F41" s="41"/>
      <c r="G41" s="40"/>
      <c r="H41" s="41"/>
      <c r="I41" s="40"/>
      <c r="J41" s="41"/>
    </row>
    <row r="42" ht="15.75" customHeight="1">
      <c r="A42" s="8" t="s">
        <v>27</v>
      </c>
      <c r="B42" s="38" t="s">
        <v>58</v>
      </c>
      <c r="C42" s="39">
        <v>0.006</v>
      </c>
      <c r="D42" s="19">
        <f>F37*C42</f>
        <v>11.54487426</v>
      </c>
      <c r="E42" s="42"/>
      <c r="F42" s="41"/>
      <c r="G42" s="40"/>
      <c r="H42" s="41"/>
      <c r="I42" s="40"/>
      <c r="J42" s="41"/>
    </row>
    <row r="43" ht="15.75" customHeight="1">
      <c r="A43" s="8" t="s">
        <v>29</v>
      </c>
      <c r="B43" s="38" t="s">
        <v>59</v>
      </c>
      <c r="C43" s="39">
        <v>0.002</v>
      </c>
      <c r="D43" s="19">
        <f>F37*C43</f>
        <v>3.848291418</v>
      </c>
      <c r="E43" s="42"/>
      <c r="F43" s="41"/>
      <c r="G43" s="40"/>
      <c r="H43" s="41"/>
      <c r="I43" s="40"/>
      <c r="J43" s="41"/>
    </row>
    <row r="44" ht="15.75" customHeight="1">
      <c r="A44" s="8" t="s">
        <v>31</v>
      </c>
      <c r="B44" s="38" t="s">
        <v>60</v>
      </c>
      <c r="C44" s="39">
        <v>0.08</v>
      </c>
      <c r="D44" s="19">
        <f>F37*C44</f>
        <v>153.9316567</v>
      </c>
      <c r="E44" s="40"/>
      <c r="F44" s="41"/>
      <c r="G44" s="40"/>
      <c r="H44" s="41"/>
      <c r="I44" s="40"/>
      <c r="J44" s="41"/>
    </row>
    <row r="45" ht="15.75" customHeight="1">
      <c r="A45" s="7" t="s">
        <v>39</v>
      </c>
      <c r="B45" s="3"/>
      <c r="C45" s="43">
        <f t="shared" ref="C45:D45" si="1">SUM(C37:C44)</f>
        <v>0.368</v>
      </c>
      <c r="D45" s="19">
        <f t="shared" si="1"/>
        <v>708.085621</v>
      </c>
      <c r="E45" s="40"/>
      <c r="F45" s="41"/>
      <c r="G45" s="40"/>
      <c r="H45" s="41"/>
      <c r="I45" s="40"/>
      <c r="J45" s="41"/>
    </row>
    <row r="46" ht="15.75" customHeight="1">
      <c r="A46" s="34"/>
    </row>
    <row r="47" ht="15.75" customHeight="1">
      <c r="A47" s="44" t="s">
        <v>61</v>
      </c>
      <c r="B47" s="28"/>
      <c r="C47" s="28"/>
      <c r="D47" s="28"/>
    </row>
    <row r="48" ht="15.75" customHeight="1">
      <c r="A48" s="18" t="s">
        <v>62</v>
      </c>
      <c r="B48" s="7" t="s">
        <v>63</v>
      </c>
      <c r="C48" s="3"/>
      <c r="D48" s="18" t="s">
        <v>15</v>
      </c>
      <c r="F48" s="45" t="s">
        <v>64</v>
      </c>
      <c r="G48" s="46"/>
      <c r="H48" s="47"/>
    </row>
    <row r="49" ht="15.75" customHeight="1">
      <c r="A49" s="8" t="s">
        <v>16</v>
      </c>
      <c r="B49" s="9" t="s">
        <v>65</v>
      </c>
      <c r="C49" s="3"/>
      <c r="D49" s="33">
        <f>(15*2*G49)-(0.06*0.5*D14)</f>
        <v>90.9378</v>
      </c>
      <c r="F49" s="48" t="s">
        <v>66</v>
      </c>
      <c r="G49" s="49">
        <v>4.3</v>
      </c>
      <c r="H49" s="47"/>
    </row>
    <row r="50" ht="15.75" customHeight="1">
      <c r="A50" s="8" t="s">
        <v>18</v>
      </c>
      <c r="B50" s="13" t="s">
        <v>67</v>
      </c>
      <c r="C50" s="3"/>
      <c r="D50" s="33">
        <f>(15*G51)-(0.15*15*G51)</f>
        <v>191.25</v>
      </c>
      <c r="F50" s="45" t="s">
        <v>68</v>
      </c>
      <c r="G50" s="46"/>
      <c r="H50" s="47"/>
    </row>
    <row r="51" ht="15.75" customHeight="1">
      <c r="A51" s="8" t="s">
        <v>20</v>
      </c>
      <c r="B51" s="9" t="s">
        <v>69</v>
      </c>
      <c r="C51" s="3"/>
      <c r="D51" s="50">
        <v>80.0</v>
      </c>
      <c r="F51" s="48" t="s">
        <v>70</v>
      </c>
      <c r="G51" s="51">
        <v>15.0</v>
      </c>
      <c r="H51" s="47"/>
    </row>
    <row r="52" ht="15.75" customHeight="1">
      <c r="A52" s="8" t="s">
        <v>23</v>
      </c>
      <c r="B52" s="9" t="s">
        <v>71</v>
      </c>
      <c r="C52" s="3"/>
      <c r="D52" s="50">
        <f>182.79*0.66</f>
        <v>120.6414</v>
      </c>
      <c r="F52" s="45"/>
      <c r="G52" s="46"/>
      <c r="H52" s="47"/>
    </row>
    <row r="53" ht="15.75" customHeight="1">
      <c r="A53" s="8" t="s">
        <v>25</v>
      </c>
      <c r="B53" s="13" t="s">
        <v>72</v>
      </c>
      <c r="C53" s="3"/>
      <c r="D53" s="33">
        <f>D14*1.5/12</f>
        <v>158.5925</v>
      </c>
      <c r="F53" s="48"/>
      <c r="G53" s="51"/>
      <c r="H53" s="47"/>
    </row>
    <row r="54" ht="15.75" customHeight="1">
      <c r="A54" s="7" t="s">
        <v>39</v>
      </c>
      <c r="B54" s="2"/>
      <c r="C54" s="3"/>
      <c r="D54" s="33">
        <f>SUM(D49:D53)</f>
        <v>641.4217</v>
      </c>
      <c r="H54" s="47"/>
    </row>
    <row r="55" ht="15.75" customHeight="1">
      <c r="A55" s="34"/>
      <c r="F55" s="52"/>
      <c r="G55" s="52"/>
    </row>
    <row r="56" ht="15.75" customHeight="1">
      <c r="A56" s="35" t="s">
        <v>73</v>
      </c>
      <c r="F56" s="52"/>
      <c r="G56" s="52"/>
    </row>
    <row r="57" ht="15.75" customHeight="1">
      <c r="A57" s="18">
        <v>2.0</v>
      </c>
      <c r="B57" s="7" t="s">
        <v>74</v>
      </c>
      <c r="C57" s="3"/>
      <c r="D57" s="18" t="s">
        <v>15</v>
      </c>
      <c r="F57" s="52"/>
      <c r="G57" s="52"/>
    </row>
    <row r="58" ht="15.75" customHeight="1">
      <c r="A58" s="8" t="s">
        <v>44</v>
      </c>
      <c r="B58" s="9" t="s">
        <v>45</v>
      </c>
      <c r="C58" s="3"/>
      <c r="D58" s="19">
        <f>D33</f>
        <v>274.7837092</v>
      </c>
      <c r="F58" s="52"/>
      <c r="G58" s="52"/>
    </row>
    <row r="59" ht="15.75" customHeight="1">
      <c r="A59" s="8" t="s">
        <v>49</v>
      </c>
      <c r="B59" s="9" t="s">
        <v>50</v>
      </c>
      <c r="C59" s="3"/>
      <c r="D59" s="19">
        <f>D45</f>
        <v>708.085621</v>
      </c>
      <c r="F59" s="52"/>
      <c r="G59" s="52"/>
    </row>
    <row r="60" ht="15.75" customHeight="1">
      <c r="A60" s="8" t="s">
        <v>62</v>
      </c>
      <c r="B60" s="9" t="s">
        <v>63</v>
      </c>
      <c r="C60" s="3"/>
      <c r="D60" s="19">
        <f>D54</f>
        <v>641.4217</v>
      </c>
      <c r="F60" s="52"/>
      <c r="G60" s="52"/>
    </row>
    <row r="61" ht="15.75" customHeight="1">
      <c r="A61" s="7" t="s">
        <v>39</v>
      </c>
      <c r="B61" s="2"/>
      <c r="C61" s="3"/>
      <c r="D61" s="23">
        <f>SUM(D58:D60)</f>
        <v>1624.29103</v>
      </c>
    </row>
    <row r="62" ht="15.75" customHeight="1">
      <c r="A62" s="15"/>
      <c r="B62" s="2"/>
      <c r="C62" s="2"/>
      <c r="D62" s="2"/>
    </row>
    <row r="63" ht="15.75" customHeight="1">
      <c r="A63" s="53" t="s">
        <v>75</v>
      </c>
      <c r="B63" s="2"/>
      <c r="C63" s="2"/>
      <c r="D63" s="3"/>
    </row>
    <row r="64" ht="15.75" customHeight="1">
      <c r="A64" s="54"/>
      <c r="B64" s="25"/>
      <c r="C64" s="25"/>
      <c r="D64" s="25"/>
    </row>
    <row r="65" ht="15.75" customHeight="1">
      <c r="A65" s="44" t="s">
        <v>76</v>
      </c>
      <c r="B65" s="28"/>
      <c r="C65" s="28"/>
      <c r="D65" s="28"/>
    </row>
    <row r="66" ht="15.75" customHeight="1">
      <c r="A66" s="55" t="s">
        <v>77</v>
      </c>
      <c r="B66" s="56" t="s">
        <v>78</v>
      </c>
      <c r="C66" s="29"/>
      <c r="D66" s="55" t="s">
        <v>15</v>
      </c>
    </row>
    <row r="67" ht="15.75" customHeight="1">
      <c r="A67" s="8" t="s">
        <v>16</v>
      </c>
      <c r="B67" s="9" t="s">
        <v>78</v>
      </c>
      <c r="C67" s="3"/>
      <c r="D67" s="33">
        <f>F30*0.42%</f>
        <v>6.9273204</v>
      </c>
    </row>
    <row r="68" ht="15.75" customHeight="1">
      <c r="A68" s="8" t="s">
        <v>18</v>
      </c>
      <c r="B68" s="57" t="s">
        <v>79</v>
      </c>
      <c r="D68" s="58">
        <f>D67*2.2%</f>
        <v>0.1524010488</v>
      </c>
    </row>
    <row r="69" ht="15.75" customHeight="1">
      <c r="A69" s="11" t="s">
        <v>20</v>
      </c>
      <c r="B69" s="9" t="s">
        <v>80</v>
      </c>
      <c r="C69" s="3"/>
      <c r="D69" s="33">
        <f>F30*2.5%</f>
        <v>41.23405</v>
      </c>
    </row>
    <row r="70" ht="15.75" customHeight="1">
      <c r="A70" s="7" t="s">
        <v>39</v>
      </c>
      <c r="B70" s="2"/>
      <c r="C70" s="3"/>
      <c r="D70" s="33">
        <f>SUM(D67:D69)</f>
        <v>48.31377145</v>
      </c>
    </row>
    <row r="71" ht="15.75" customHeight="1">
      <c r="A71" s="30"/>
      <c r="B71" s="25"/>
      <c r="C71" s="25"/>
      <c r="D71" s="25"/>
    </row>
    <row r="72" ht="15.75" customHeight="1">
      <c r="A72" s="44" t="s">
        <v>81</v>
      </c>
      <c r="B72" s="28"/>
      <c r="C72" s="28"/>
      <c r="D72" s="28"/>
    </row>
    <row r="73" ht="15.75" customHeight="1">
      <c r="A73" s="55" t="s">
        <v>82</v>
      </c>
      <c r="B73" s="56" t="s">
        <v>83</v>
      </c>
      <c r="C73" s="29"/>
      <c r="D73" s="55" t="s">
        <v>15</v>
      </c>
    </row>
    <row r="74" ht="15.75" customHeight="1">
      <c r="A74" s="8" t="s">
        <v>16</v>
      </c>
      <c r="B74" s="9" t="s">
        <v>83</v>
      </c>
      <c r="C74" s="3"/>
      <c r="D74" s="33">
        <f>F30*1.94%</f>
        <v>31.9976228</v>
      </c>
    </row>
    <row r="75" ht="15.75" customHeight="1">
      <c r="A75" s="8" t="s">
        <v>18</v>
      </c>
      <c r="B75" s="59" t="s">
        <v>84</v>
      </c>
      <c r="C75" s="3"/>
      <c r="D75" s="58">
        <f>D74*2.2%</f>
        <v>0.7039477016</v>
      </c>
    </row>
    <row r="76" ht="15.75" customHeight="1">
      <c r="A76" s="11" t="s">
        <v>20</v>
      </c>
      <c r="B76" s="9" t="s">
        <v>85</v>
      </c>
      <c r="C76" s="3"/>
      <c r="D76" s="33">
        <f>F30*2.5%</f>
        <v>41.23405</v>
      </c>
    </row>
    <row r="77" ht="15.75" customHeight="1">
      <c r="A77" s="7" t="s">
        <v>39</v>
      </c>
      <c r="B77" s="2"/>
      <c r="C77" s="3"/>
      <c r="D77" s="33">
        <f>SUM(D74:D76)</f>
        <v>73.9356205</v>
      </c>
    </row>
    <row r="78" ht="15.75" customHeight="1">
      <c r="A78" s="35"/>
    </row>
    <row r="79" ht="15.75" customHeight="1">
      <c r="A79" s="60" t="s">
        <v>86</v>
      </c>
    </row>
    <row r="80" ht="15.75" customHeight="1"/>
    <row r="81" ht="15.75" customHeight="1">
      <c r="A81" s="44" t="s">
        <v>87</v>
      </c>
      <c r="B81" s="28"/>
      <c r="C81" s="28"/>
      <c r="D81" s="28"/>
    </row>
    <row r="82" ht="15.75" customHeight="1">
      <c r="A82" s="55">
        <v>3.0</v>
      </c>
      <c r="B82" s="56" t="s">
        <v>88</v>
      </c>
      <c r="C82" s="29"/>
      <c r="D82" s="55" t="s">
        <v>15</v>
      </c>
    </row>
    <row r="83" ht="15.75" customHeight="1">
      <c r="A83" s="8" t="s">
        <v>77</v>
      </c>
      <c r="B83" s="9" t="s">
        <v>78</v>
      </c>
      <c r="C83" s="3"/>
      <c r="D83" s="33">
        <f>D70</f>
        <v>48.31377145</v>
      </c>
    </row>
    <row r="84" ht="15.75" customHeight="1">
      <c r="A84" s="8" t="s">
        <v>82</v>
      </c>
      <c r="B84" s="9" t="s">
        <v>83</v>
      </c>
      <c r="C84" s="3"/>
      <c r="D84" s="33">
        <f>D77</f>
        <v>73.9356205</v>
      </c>
    </row>
    <row r="85" ht="15.75" customHeight="1">
      <c r="A85" s="7" t="s">
        <v>39</v>
      </c>
      <c r="B85" s="2"/>
      <c r="C85" s="3"/>
      <c r="D85" s="61">
        <f>SUM(D83:D84)</f>
        <v>122.249392</v>
      </c>
    </row>
    <row r="86" ht="15.75" customHeight="1">
      <c r="A86" s="31"/>
      <c r="B86" s="28"/>
      <c r="C86" s="28"/>
      <c r="D86" s="28"/>
    </row>
    <row r="87" ht="15.75" customHeight="1">
      <c r="A87" s="62" t="s">
        <v>89</v>
      </c>
      <c r="B87" s="63"/>
      <c r="C87" s="63"/>
      <c r="D87" s="64"/>
    </row>
    <row r="88" ht="15.75" customHeight="1">
      <c r="A88" s="34"/>
    </row>
    <row r="89" ht="15.75" customHeight="1">
      <c r="A89" s="44" t="s">
        <v>90</v>
      </c>
      <c r="B89" s="28"/>
      <c r="C89" s="28"/>
      <c r="D89" s="28"/>
    </row>
    <row r="90" ht="15.75" customHeight="1">
      <c r="A90" s="55" t="s">
        <v>91</v>
      </c>
      <c r="B90" s="56" t="s">
        <v>92</v>
      </c>
      <c r="C90" s="29"/>
      <c r="D90" s="55" t="s">
        <v>15</v>
      </c>
    </row>
    <row r="91" ht="15.75" customHeight="1">
      <c r="A91" s="8" t="s">
        <v>16</v>
      </c>
      <c r="B91" s="9" t="s">
        <v>47</v>
      </c>
      <c r="C91" s="3"/>
      <c r="D91" s="65">
        <f>F30*9.075%</f>
        <v>149.6796015</v>
      </c>
    </row>
    <row r="92" ht="15.75" customHeight="1">
      <c r="A92" s="8" t="s">
        <v>18</v>
      </c>
      <c r="B92" s="9" t="s">
        <v>93</v>
      </c>
      <c r="C92" s="3"/>
      <c r="D92" s="19">
        <f>(1*1)*(365/365)*((D25+D61+D85)/30)/12</f>
        <v>10.07730026</v>
      </c>
    </row>
    <row r="93" ht="15.75" customHeight="1">
      <c r="A93" s="8" t="s">
        <v>20</v>
      </c>
      <c r="B93" s="9" t="s">
        <v>94</v>
      </c>
      <c r="C93" s="3"/>
      <c r="D93" s="19">
        <f>(0.5*5)*(0.5)*((D25+D61+D85)/30)/12</f>
        <v>12.59662533</v>
      </c>
    </row>
    <row r="94" ht="15.75" customHeight="1">
      <c r="A94" s="8" t="s">
        <v>23</v>
      </c>
      <c r="B94" s="66" t="s">
        <v>95</v>
      </c>
      <c r="C94" s="3"/>
      <c r="D94" s="19">
        <f>(0.0922*15)*(0.5)*((D25+D61+D85)/30)/12</f>
        <v>6.968453131</v>
      </c>
    </row>
    <row r="95" ht="15.75" customHeight="1">
      <c r="A95" s="8" t="s">
        <v>25</v>
      </c>
      <c r="B95" s="66" t="s">
        <v>96</v>
      </c>
      <c r="C95" s="3"/>
      <c r="D95" s="19">
        <f>(1*5)*(0.5)*((D25+D61+D85)/30)/12</f>
        <v>25.19325065</v>
      </c>
    </row>
    <row r="96" ht="15.75" customHeight="1">
      <c r="A96" s="8" t="s">
        <v>27</v>
      </c>
      <c r="B96" s="66" t="s">
        <v>97</v>
      </c>
      <c r="C96" s="3"/>
      <c r="D96" s="19">
        <f>(0.1344*2)*(365/365)*((D25+D61+D85)/30)/12</f>
        <v>2.70877831</v>
      </c>
    </row>
    <row r="97" ht="15.75" customHeight="1">
      <c r="A97" s="8" t="s">
        <v>29</v>
      </c>
      <c r="B97" s="66" t="s">
        <v>98</v>
      </c>
      <c r="C97" s="3"/>
      <c r="D97" s="19">
        <f>(0.0305*2)*(0.5)*((D25+D61+D85)/30)/12</f>
        <v>0.307357658</v>
      </c>
    </row>
    <row r="98" ht="15.75" customHeight="1">
      <c r="A98" s="8" t="s">
        <v>31</v>
      </c>
      <c r="B98" s="66" t="s">
        <v>99</v>
      </c>
      <c r="C98" s="3"/>
      <c r="D98" s="19">
        <f>(0.0118*3)*(0.5)*((D25+D61+D85)/30)/12</f>
        <v>0.1783682146</v>
      </c>
    </row>
    <row r="99" ht="15.75" customHeight="1">
      <c r="A99" s="8" t="s">
        <v>33</v>
      </c>
      <c r="B99" s="66" t="s">
        <v>100</v>
      </c>
      <c r="C99" s="3"/>
      <c r="D99" s="19">
        <f>(0.02*1)*(365/365)*((D25+D61+D85)/30)/12</f>
        <v>0.2015460052</v>
      </c>
    </row>
    <row r="100" ht="15.75" customHeight="1">
      <c r="A100" s="8" t="s">
        <v>35</v>
      </c>
      <c r="B100" s="66" t="s">
        <v>101</v>
      </c>
      <c r="C100" s="3"/>
      <c r="D100" s="19">
        <f>(0.004*1)*(365/365)*((D25+D61+D85)/30)/12</f>
        <v>0.04030920105</v>
      </c>
    </row>
    <row r="101" ht="15.75" customHeight="1">
      <c r="A101" s="8" t="s">
        <v>37</v>
      </c>
      <c r="B101" s="66" t="s">
        <v>102</v>
      </c>
      <c r="C101" s="3"/>
      <c r="D101" s="19">
        <f>(0.0325*20)*(0.5)*((D25+D61+D85)/30)/12</f>
        <v>3.275122585</v>
      </c>
    </row>
    <row r="102" ht="15.75" customHeight="1">
      <c r="A102" s="8" t="s">
        <v>103</v>
      </c>
      <c r="B102" s="66" t="s">
        <v>104</v>
      </c>
      <c r="C102" s="3"/>
      <c r="D102" s="19">
        <f>(0.0028*180)*(0.5)*((D25+D61+D85)/30)/12</f>
        <v>2.539479666</v>
      </c>
    </row>
    <row r="103" ht="15.75" customHeight="1">
      <c r="A103" s="8" t="s">
        <v>105</v>
      </c>
      <c r="B103" s="66" t="s">
        <v>106</v>
      </c>
      <c r="C103" s="3"/>
      <c r="D103" s="19">
        <f>(0.0002*6)*(365/365)*((D25+D61+D85)/30)/12</f>
        <v>0.01209276031</v>
      </c>
    </row>
    <row r="104" ht="15.75" customHeight="1">
      <c r="A104" s="7" t="s">
        <v>39</v>
      </c>
      <c r="B104" s="2"/>
      <c r="C104" s="3"/>
      <c r="D104" s="19">
        <f>SUM(D91:D103)</f>
        <v>213.7782853</v>
      </c>
    </row>
    <row r="105" ht="15.75" customHeight="1">
      <c r="A105" s="30"/>
      <c r="B105" s="25"/>
      <c r="C105" s="25"/>
      <c r="D105" s="25"/>
    </row>
    <row r="106" ht="15.75" customHeight="1">
      <c r="A106" s="44" t="s">
        <v>107</v>
      </c>
      <c r="B106" s="28"/>
      <c r="C106" s="28"/>
      <c r="D106" s="28"/>
    </row>
    <row r="107" ht="21.75" customHeight="1">
      <c r="A107" s="55" t="s">
        <v>108</v>
      </c>
      <c r="B107" s="56" t="s">
        <v>109</v>
      </c>
      <c r="C107" s="29"/>
      <c r="D107" s="55" t="s">
        <v>15</v>
      </c>
    </row>
    <row r="108" ht="15.75" customHeight="1">
      <c r="A108" s="8" t="s">
        <v>16</v>
      </c>
      <c r="B108" s="9" t="s">
        <v>110</v>
      </c>
      <c r="C108" s="3"/>
      <c r="D108" s="19">
        <f>((D25/180)*1.5)*15</f>
        <v>235.160959</v>
      </c>
    </row>
    <row r="109" ht="15.75" customHeight="1">
      <c r="A109" s="7" t="s">
        <v>39</v>
      </c>
      <c r="B109" s="2"/>
      <c r="C109" s="3"/>
      <c r="D109" s="19">
        <f>SUM(D108)</f>
        <v>235.160959</v>
      </c>
    </row>
    <row r="110" ht="15.75" customHeight="1">
      <c r="A110" s="30"/>
      <c r="B110" s="25"/>
      <c r="C110" s="25"/>
      <c r="D110" s="25"/>
    </row>
    <row r="111" ht="15.75" customHeight="1">
      <c r="A111" s="44" t="s">
        <v>111</v>
      </c>
      <c r="B111" s="28"/>
      <c r="C111" s="28"/>
      <c r="D111" s="28"/>
    </row>
    <row r="112" ht="15.75" customHeight="1">
      <c r="A112" s="55">
        <v>4.0</v>
      </c>
      <c r="B112" s="56" t="s">
        <v>112</v>
      </c>
      <c r="C112" s="29"/>
      <c r="D112" s="55" t="s">
        <v>15</v>
      </c>
    </row>
    <row r="113" ht="15.75" customHeight="1">
      <c r="A113" s="8" t="s">
        <v>91</v>
      </c>
      <c r="B113" s="9" t="s">
        <v>92</v>
      </c>
      <c r="C113" s="3"/>
      <c r="D113" s="33">
        <f>D104</f>
        <v>213.7782853</v>
      </c>
    </row>
    <row r="114" ht="15.75" customHeight="1">
      <c r="A114" s="8" t="s">
        <v>108</v>
      </c>
      <c r="B114" s="9" t="s">
        <v>109</v>
      </c>
      <c r="C114" s="3"/>
      <c r="D114" s="33">
        <f>D109</f>
        <v>235.160959</v>
      </c>
    </row>
    <row r="115" ht="15.75" customHeight="1">
      <c r="A115" s="7" t="s">
        <v>39</v>
      </c>
      <c r="B115" s="2"/>
      <c r="C115" s="3"/>
      <c r="D115" s="61">
        <f>SUM(D113:D114)</f>
        <v>448.9392443</v>
      </c>
    </row>
    <row r="116" ht="15.75" customHeight="1">
      <c r="A116" s="15"/>
      <c r="B116" s="2"/>
      <c r="C116" s="2"/>
      <c r="D116" s="2"/>
    </row>
    <row r="117" ht="15.75" customHeight="1">
      <c r="A117" s="53" t="s">
        <v>113</v>
      </c>
      <c r="B117" s="2"/>
      <c r="C117" s="2"/>
      <c r="D117" s="3"/>
    </row>
    <row r="118" ht="15.75" customHeight="1">
      <c r="A118" s="17"/>
      <c r="B118" s="2"/>
      <c r="C118" s="2"/>
      <c r="D118" s="2"/>
    </row>
    <row r="119" ht="15.75" customHeight="1">
      <c r="A119" s="18">
        <v>5.0</v>
      </c>
      <c r="B119" s="7" t="s">
        <v>114</v>
      </c>
      <c r="C119" s="3"/>
      <c r="D119" s="18" t="s">
        <v>15</v>
      </c>
      <c r="F119" s="67" t="s">
        <v>115</v>
      </c>
    </row>
    <row r="120" ht="15.75" customHeight="1">
      <c r="A120" s="8" t="s">
        <v>16</v>
      </c>
      <c r="B120" s="9" t="s">
        <v>116</v>
      </c>
      <c r="C120" s="3"/>
      <c r="D120" s="33">
        <f>Uniformes!E13</f>
        <v>59.89416667</v>
      </c>
      <c r="F120" s="33">
        <f>(((D144+D128+D129)/(1-8.65%)))</f>
        <v>5198.204773</v>
      </c>
    </row>
    <row r="121" ht="15.75" customHeight="1">
      <c r="A121" s="8" t="s">
        <v>18</v>
      </c>
      <c r="B121" s="9" t="s">
        <v>117</v>
      </c>
      <c r="C121" s="3"/>
      <c r="D121" s="33">
        <f>'Utensílios e materiais'!F9</f>
        <v>2.71671875</v>
      </c>
      <c r="F121" s="67" t="s">
        <v>118</v>
      </c>
    </row>
    <row r="122" ht="15.75" customHeight="1">
      <c r="A122" s="8" t="s">
        <v>20</v>
      </c>
      <c r="B122" s="9" t="s">
        <v>119</v>
      </c>
      <c r="C122" s="3"/>
      <c r="D122" s="33">
        <f>Equipamentos!F11</f>
        <v>8.560333333</v>
      </c>
      <c r="F122" s="68">
        <f>((D144+F128+F129)/(1-14.25%))</f>
        <v>5537.679371</v>
      </c>
    </row>
    <row r="123" ht="15.75" customHeight="1">
      <c r="A123" s="7" t="s">
        <v>39</v>
      </c>
      <c r="B123" s="2"/>
      <c r="C123" s="3"/>
      <c r="D123" s="61">
        <f>SUM(D120:D122)</f>
        <v>71.17121875</v>
      </c>
    </row>
    <row r="124" ht="15.75" customHeight="1">
      <c r="A124" s="69"/>
      <c r="B124" s="28"/>
      <c r="C124" s="28"/>
      <c r="D124" s="28"/>
    </row>
    <row r="125" ht="15.75" customHeight="1">
      <c r="A125" s="53" t="s">
        <v>120</v>
      </c>
      <c r="B125" s="2"/>
      <c r="C125" s="2"/>
      <c r="D125" s="3"/>
    </row>
    <row r="126" ht="15.75" customHeight="1">
      <c r="A126" s="17"/>
      <c r="B126" s="17"/>
      <c r="C126" s="70" t="s">
        <v>121</v>
      </c>
      <c r="D126" s="2"/>
      <c r="E126" s="71" t="s">
        <v>122</v>
      </c>
      <c r="F126" s="3"/>
    </row>
    <row r="127" ht="15.75" customHeight="1">
      <c r="A127" s="18">
        <v>6.0</v>
      </c>
      <c r="B127" s="18" t="s">
        <v>114</v>
      </c>
      <c r="C127" s="18" t="s">
        <v>123</v>
      </c>
      <c r="D127" s="18" t="s">
        <v>15</v>
      </c>
      <c r="E127" s="18" t="s">
        <v>123</v>
      </c>
      <c r="F127" s="18" t="s">
        <v>15</v>
      </c>
    </row>
    <row r="128" ht="15.75" customHeight="1">
      <c r="A128" s="8" t="s">
        <v>16</v>
      </c>
      <c r="B128" s="38" t="s">
        <v>124</v>
      </c>
      <c r="C128" s="50">
        <v>6.0</v>
      </c>
      <c r="D128" s="33">
        <f>(D144*C128)*0.01</f>
        <v>248.8763134</v>
      </c>
      <c r="E128" s="72">
        <v>6.0</v>
      </c>
      <c r="F128" s="33">
        <f>D144*6%</f>
        <v>248.8763134</v>
      </c>
    </row>
    <row r="129" ht="15.75" customHeight="1">
      <c r="A129" s="8" t="s">
        <v>18</v>
      </c>
      <c r="B129" s="38" t="s">
        <v>125</v>
      </c>
      <c r="C129" s="50">
        <v>8.0</v>
      </c>
      <c r="D129" s="33">
        <f>(D144+D128)*0.01*C129</f>
        <v>351.7451896</v>
      </c>
      <c r="E129" s="72">
        <v>8.0</v>
      </c>
      <c r="F129" s="33">
        <f>(D144+F128)*E129*0.01</f>
        <v>351.7451896</v>
      </c>
    </row>
    <row r="130" ht="15.75" customHeight="1">
      <c r="A130" s="8" t="s">
        <v>20</v>
      </c>
      <c r="B130" s="38" t="s">
        <v>126</v>
      </c>
      <c r="C130" s="33">
        <f>SUM(C131:C133)</f>
        <v>8.65</v>
      </c>
      <c r="D130" s="73"/>
      <c r="E130" s="72">
        <f>SUM(E131:E133)</f>
        <v>14.25</v>
      </c>
      <c r="F130" s="33"/>
    </row>
    <row r="131" ht="15.75" customHeight="1">
      <c r="A131" s="8"/>
      <c r="B131" s="38" t="s">
        <v>127</v>
      </c>
      <c r="C131" s="33">
        <v>3.65</v>
      </c>
      <c r="D131" s="33">
        <f>F120*3.65%</f>
        <v>189.7344742</v>
      </c>
      <c r="E131" s="72">
        <f>1.65+7.6</f>
        <v>9.25</v>
      </c>
      <c r="F131" s="58">
        <f>F122*9.25%</f>
        <v>512.2353418</v>
      </c>
    </row>
    <row r="132" ht="15.75" customHeight="1">
      <c r="A132" s="8"/>
      <c r="B132" s="38" t="s">
        <v>128</v>
      </c>
      <c r="C132" s="33"/>
      <c r="D132" s="33"/>
      <c r="E132" s="74"/>
      <c r="F132" s="58"/>
    </row>
    <row r="133" ht="15.75" customHeight="1">
      <c r="A133" s="8"/>
      <c r="B133" s="38" t="s">
        <v>129</v>
      </c>
      <c r="C133" s="33">
        <v>5.0</v>
      </c>
      <c r="D133" s="33">
        <f>F120*5%</f>
        <v>259.9102387</v>
      </c>
      <c r="E133" s="72">
        <v>5.0</v>
      </c>
      <c r="F133" s="58">
        <f>F122*5%</f>
        <v>276.8839685</v>
      </c>
    </row>
    <row r="134" ht="15.75" customHeight="1">
      <c r="A134" s="7" t="s">
        <v>39</v>
      </c>
      <c r="B134" s="3"/>
      <c r="C134" s="19">
        <f>SUM(C128:C130)</f>
        <v>22.65</v>
      </c>
      <c r="D134" s="23">
        <f>SUM(D128:D133)</f>
        <v>1050.266216</v>
      </c>
      <c r="E134" s="74">
        <f>SUM(E128:E130)</f>
        <v>28.25</v>
      </c>
      <c r="F134" s="58">
        <f>SUM(F128:F133)</f>
        <v>1389.740813</v>
      </c>
    </row>
    <row r="135" ht="15.75" customHeight="1">
      <c r="A135" s="34"/>
    </row>
    <row r="136" ht="15.0" customHeight="1">
      <c r="A136" s="75" t="s">
        <v>130</v>
      </c>
      <c r="B136" s="2"/>
      <c r="C136" s="2"/>
      <c r="D136" s="3"/>
    </row>
    <row r="137" ht="15.75" customHeight="1">
      <c r="A137" s="17"/>
      <c r="B137" s="2"/>
      <c r="C137" s="2"/>
      <c r="D137" s="2"/>
    </row>
    <row r="138" ht="15.75" customHeight="1">
      <c r="A138" s="7" t="s">
        <v>131</v>
      </c>
      <c r="B138" s="2"/>
      <c r="C138" s="3"/>
      <c r="D138" s="18" t="s">
        <v>15</v>
      </c>
      <c r="F138" s="18" t="s">
        <v>15</v>
      </c>
    </row>
    <row r="139" ht="15.75" customHeight="1">
      <c r="A139" s="18" t="s">
        <v>16</v>
      </c>
      <c r="B139" s="9" t="s">
        <v>13</v>
      </c>
      <c r="C139" s="3"/>
      <c r="D139" s="19">
        <f>D25</f>
        <v>1881.287672</v>
      </c>
      <c r="F139" s="19">
        <f t="shared" ref="F139:F143" si="2">D139</f>
        <v>1881.287672</v>
      </c>
    </row>
    <row r="140" ht="15.75" customHeight="1">
      <c r="A140" s="18" t="s">
        <v>18</v>
      </c>
      <c r="B140" s="9" t="s">
        <v>41</v>
      </c>
      <c r="C140" s="3"/>
      <c r="D140" s="19">
        <f>D61</f>
        <v>1624.29103</v>
      </c>
      <c r="F140" s="19">
        <f t="shared" si="2"/>
        <v>1624.29103</v>
      </c>
    </row>
    <row r="141" ht="15.75" customHeight="1">
      <c r="A141" s="18" t="s">
        <v>20</v>
      </c>
      <c r="B141" s="9" t="s">
        <v>75</v>
      </c>
      <c r="C141" s="3"/>
      <c r="D141" s="19">
        <f>D85</f>
        <v>122.249392</v>
      </c>
      <c r="F141" s="19">
        <f t="shared" si="2"/>
        <v>122.249392</v>
      </c>
    </row>
    <row r="142" ht="15.75" customHeight="1">
      <c r="A142" s="18" t="s">
        <v>23</v>
      </c>
      <c r="B142" s="9" t="s">
        <v>89</v>
      </c>
      <c r="C142" s="3"/>
      <c r="D142" s="19">
        <f>D115</f>
        <v>448.9392443</v>
      </c>
      <c r="F142" s="19">
        <f t="shared" si="2"/>
        <v>448.9392443</v>
      </c>
    </row>
    <row r="143" ht="15.75" customHeight="1">
      <c r="A143" s="18" t="s">
        <v>25</v>
      </c>
      <c r="B143" s="9" t="s">
        <v>113</v>
      </c>
      <c r="C143" s="3"/>
      <c r="D143" s="19">
        <f>D123</f>
        <v>71.17121875</v>
      </c>
      <c r="F143" s="19">
        <f t="shared" si="2"/>
        <v>71.17121875</v>
      </c>
    </row>
    <row r="144" ht="15.75" customHeight="1">
      <c r="A144" s="7" t="s">
        <v>132</v>
      </c>
      <c r="B144" s="2"/>
      <c r="C144" s="3"/>
      <c r="D144" s="19">
        <f>SUM(D139:D143)</f>
        <v>4147.938557</v>
      </c>
      <c r="F144" s="19">
        <f>SUM(F139:F143)</f>
        <v>4147.938557</v>
      </c>
    </row>
    <row r="145" ht="15.75" customHeight="1">
      <c r="A145" s="18" t="s">
        <v>27</v>
      </c>
      <c r="B145" s="9" t="s">
        <v>120</v>
      </c>
      <c r="C145" s="3"/>
      <c r="D145" s="19">
        <f>D134</f>
        <v>1050.266216</v>
      </c>
      <c r="F145" s="19">
        <f>F134</f>
        <v>1389.740813</v>
      </c>
    </row>
    <row r="146" ht="15.75" customHeight="1">
      <c r="A146" s="7" t="s">
        <v>133</v>
      </c>
      <c r="B146" s="2"/>
      <c r="C146" s="3"/>
      <c r="D146" s="23">
        <f>ROUND(SUM(D144:D145),2)</f>
        <v>5198.2</v>
      </c>
      <c r="F146" s="23">
        <f>ROUND(SUM(F144:F145),2)</f>
        <v>5537.68</v>
      </c>
    </row>
    <row r="147" ht="15.75" customHeight="1">
      <c r="A147" s="7" t="s">
        <v>134</v>
      </c>
      <c r="B147" s="2"/>
      <c r="C147" s="3"/>
      <c r="D147" s="23">
        <f>2*D146</f>
        <v>10396.4</v>
      </c>
      <c r="F147" s="23">
        <f>2*F146</f>
        <v>11075.36</v>
      </c>
    </row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34">
    <mergeCell ref="A1:D1"/>
    <mergeCell ref="A2:D2"/>
    <mergeCell ref="A3:D3"/>
    <mergeCell ref="B4:C4"/>
    <mergeCell ref="B5:C5"/>
    <mergeCell ref="B6:C6"/>
    <mergeCell ref="B7:C7"/>
    <mergeCell ref="B8:C8"/>
    <mergeCell ref="B9:C9"/>
    <mergeCell ref="A10:D10"/>
    <mergeCell ref="A11:D11"/>
    <mergeCell ref="A12:D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5:C25"/>
    <mergeCell ref="A26:D26"/>
    <mergeCell ref="A27:D27"/>
    <mergeCell ref="A28:D28"/>
    <mergeCell ref="A29:D29"/>
    <mergeCell ref="B30:C30"/>
    <mergeCell ref="B31:C31"/>
    <mergeCell ref="B32:C32"/>
    <mergeCell ref="A33:C33"/>
    <mergeCell ref="A34:D34"/>
    <mergeCell ref="A35:D35"/>
    <mergeCell ref="A45:B45"/>
    <mergeCell ref="A46:D46"/>
    <mergeCell ref="A47:D47"/>
    <mergeCell ref="B48:C48"/>
    <mergeCell ref="F48:G48"/>
    <mergeCell ref="B49:C49"/>
    <mergeCell ref="F50:G50"/>
    <mergeCell ref="B50:C50"/>
    <mergeCell ref="B51:C51"/>
    <mergeCell ref="B52:C52"/>
    <mergeCell ref="F52:G52"/>
    <mergeCell ref="B53:C53"/>
    <mergeCell ref="A54:C54"/>
    <mergeCell ref="A55:D55"/>
    <mergeCell ref="B99:C99"/>
    <mergeCell ref="B100:C100"/>
    <mergeCell ref="B101:C101"/>
    <mergeCell ref="B102:C102"/>
    <mergeCell ref="B103:C103"/>
    <mergeCell ref="A104:C104"/>
    <mergeCell ref="A105:D105"/>
    <mergeCell ref="A106:D106"/>
    <mergeCell ref="B107:C107"/>
    <mergeCell ref="B108:C108"/>
    <mergeCell ref="A109:C109"/>
    <mergeCell ref="A110:D110"/>
    <mergeCell ref="A111:D111"/>
    <mergeCell ref="B112:C112"/>
    <mergeCell ref="E126:F126"/>
    <mergeCell ref="B113:C113"/>
    <mergeCell ref="B114:C114"/>
    <mergeCell ref="A115:C115"/>
    <mergeCell ref="A116:D116"/>
    <mergeCell ref="A117:D117"/>
    <mergeCell ref="A118:D118"/>
    <mergeCell ref="B119:C119"/>
    <mergeCell ref="B120:C120"/>
    <mergeCell ref="B121:C121"/>
    <mergeCell ref="B122:C122"/>
    <mergeCell ref="A123:C123"/>
    <mergeCell ref="A124:D124"/>
    <mergeCell ref="A125:D125"/>
    <mergeCell ref="C126:D126"/>
    <mergeCell ref="A56:D56"/>
    <mergeCell ref="B57:C57"/>
    <mergeCell ref="B58:C58"/>
    <mergeCell ref="B59:C59"/>
    <mergeCell ref="B60:C60"/>
    <mergeCell ref="A61:C61"/>
    <mergeCell ref="A62:D62"/>
    <mergeCell ref="A63:D63"/>
    <mergeCell ref="A64:D64"/>
    <mergeCell ref="A65:D65"/>
    <mergeCell ref="B66:C66"/>
    <mergeCell ref="B67:C67"/>
    <mergeCell ref="B68:C68"/>
    <mergeCell ref="B69:C69"/>
    <mergeCell ref="A70:C70"/>
    <mergeCell ref="A71:D71"/>
    <mergeCell ref="A72:D72"/>
    <mergeCell ref="B73:C73"/>
    <mergeCell ref="B74:C74"/>
    <mergeCell ref="B75:C75"/>
    <mergeCell ref="B76:C76"/>
    <mergeCell ref="A77:C77"/>
    <mergeCell ref="A78:D78"/>
    <mergeCell ref="A79:D80"/>
    <mergeCell ref="A81:D81"/>
    <mergeCell ref="B82:C82"/>
    <mergeCell ref="B83:C83"/>
    <mergeCell ref="B84:C84"/>
    <mergeCell ref="A85:C85"/>
    <mergeCell ref="A86:D86"/>
    <mergeCell ref="A87:D87"/>
    <mergeCell ref="A88:D88"/>
    <mergeCell ref="A89:D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141:C141"/>
    <mergeCell ref="B142:C142"/>
    <mergeCell ref="B143:C143"/>
    <mergeCell ref="A144:C144"/>
    <mergeCell ref="B145:C145"/>
    <mergeCell ref="A146:C146"/>
    <mergeCell ref="A147:C147"/>
    <mergeCell ref="A134:B134"/>
    <mergeCell ref="A135:D135"/>
    <mergeCell ref="A136:D136"/>
    <mergeCell ref="A137:D137"/>
    <mergeCell ref="A138:C138"/>
    <mergeCell ref="B139:C139"/>
    <mergeCell ref="B140:C140"/>
  </mergeCells>
  <printOptions/>
  <pageMargins bottom="0.787401575" footer="0.0" header="0.0" left="0.511811024" right="0.0" top="0.7874015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48.57"/>
    <col customWidth="1" min="3" max="3" width="15.57"/>
    <col customWidth="1" min="4" max="4" width="24.43"/>
    <col customWidth="1" min="5" max="5" width="10.43"/>
    <col customWidth="1" min="6" max="6" width="29.86"/>
    <col customWidth="1" min="7" max="7" width="8.86"/>
    <col customWidth="1" min="8" max="8" width="18.0"/>
    <col customWidth="1" min="9" max="26" width="8.86"/>
  </cols>
  <sheetData>
    <row r="1">
      <c r="A1" s="1" t="s">
        <v>0</v>
      </c>
      <c r="B1" s="2"/>
      <c r="C1" s="2"/>
      <c r="D1" s="3"/>
    </row>
    <row r="2">
      <c r="A2" s="4"/>
      <c r="B2" s="5"/>
      <c r="C2" s="5"/>
      <c r="D2" s="6"/>
    </row>
    <row r="3">
      <c r="A3" s="7" t="s">
        <v>1</v>
      </c>
      <c r="B3" s="2"/>
      <c r="C3" s="2"/>
      <c r="D3" s="3"/>
    </row>
    <row r="4">
      <c r="A4" s="8">
        <v>1.0</v>
      </c>
      <c r="B4" s="9" t="s">
        <v>2</v>
      </c>
      <c r="C4" s="3"/>
      <c r="D4" s="8" t="s">
        <v>3</v>
      </c>
    </row>
    <row r="5">
      <c r="A5" s="8">
        <v>2.0</v>
      </c>
      <c r="B5" s="9" t="s">
        <v>4</v>
      </c>
      <c r="C5" s="3"/>
      <c r="D5" s="8" t="s">
        <v>5</v>
      </c>
    </row>
    <row r="6">
      <c r="A6" s="8">
        <v>3.0</v>
      </c>
      <c r="B6" s="9" t="s">
        <v>6</v>
      </c>
      <c r="C6" s="3"/>
      <c r="D6" s="10">
        <v>1268.74</v>
      </c>
    </row>
    <row r="7">
      <c r="A7" s="8">
        <v>4.0</v>
      </c>
      <c r="B7" s="9" t="s">
        <v>7</v>
      </c>
      <c r="C7" s="3"/>
      <c r="D7" s="11" t="s">
        <v>136</v>
      </c>
    </row>
    <row r="8">
      <c r="A8" s="8">
        <v>5.0</v>
      </c>
      <c r="B8" s="9" t="s">
        <v>9</v>
      </c>
      <c r="C8" s="3"/>
      <c r="D8" s="11" t="s">
        <v>10</v>
      </c>
      <c r="E8" s="12">
        <v>44593.0</v>
      </c>
    </row>
    <row r="9">
      <c r="A9" s="8">
        <v>6.0</v>
      </c>
      <c r="B9" s="13" t="s">
        <v>11</v>
      </c>
      <c r="C9" s="3"/>
      <c r="D9" s="14" t="s">
        <v>12</v>
      </c>
    </row>
    <row r="10">
      <c r="A10" s="15"/>
      <c r="B10" s="2"/>
      <c r="C10" s="2"/>
      <c r="D10" s="2"/>
    </row>
    <row r="11">
      <c r="A11" s="16" t="s">
        <v>13</v>
      </c>
      <c r="B11" s="2"/>
      <c r="C11" s="2"/>
      <c r="D11" s="3"/>
    </row>
    <row r="12">
      <c r="A12" s="17"/>
      <c r="B12" s="2"/>
      <c r="C12" s="2"/>
      <c r="D12" s="2"/>
    </row>
    <row r="13">
      <c r="A13" s="18">
        <v>1.0</v>
      </c>
      <c r="B13" s="7" t="s">
        <v>14</v>
      </c>
      <c r="C13" s="3"/>
      <c r="D13" s="18" t="s">
        <v>15</v>
      </c>
    </row>
    <row r="14">
      <c r="A14" s="8" t="s">
        <v>16</v>
      </c>
      <c r="B14" s="9" t="s">
        <v>17</v>
      </c>
      <c r="C14" s="3"/>
      <c r="D14" s="19">
        <f>D6</f>
        <v>1268.74</v>
      </c>
    </row>
    <row r="15">
      <c r="A15" s="8" t="s">
        <v>18</v>
      </c>
      <c r="B15" s="9" t="s">
        <v>19</v>
      </c>
      <c r="C15" s="3"/>
      <c r="D15" s="19">
        <f>0.3*D14</f>
        <v>380.622</v>
      </c>
    </row>
    <row r="16">
      <c r="A16" s="8" t="s">
        <v>20</v>
      </c>
      <c r="B16" s="9" t="s">
        <v>21</v>
      </c>
      <c r="C16" s="3"/>
      <c r="D16" s="19" t="s">
        <v>22</v>
      </c>
    </row>
    <row r="17">
      <c r="A17" s="8" t="s">
        <v>23</v>
      </c>
      <c r="B17" s="9" t="s">
        <v>24</v>
      </c>
      <c r="C17" s="3"/>
      <c r="D17" s="19">
        <f>((D14+D15)/180)*0.35*7*15</f>
        <v>336.7447417</v>
      </c>
    </row>
    <row r="18">
      <c r="A18" s="8" t="s">
        <v>25</v>
      </c>
      <c r="B18" s="9" t="s">
        <v>26</v>
      </c>
      <c r="C18" s="3"/>
      <c r="D18" s="50">
        <f>((D14+D15)/180)*15</f>
        <v>137.4468333</v>
      </c>
    </row>
    <row r="19">
      <c r="A19" s="8" t="s">
        <v>27</v>
      </c>
      <c r="B19" s="9" t="s">
        <v>28</v>
      </c>
      <c r="C19" s="3"/>
      <c r="D19" s="19" t="s">
        <v>22</v>
      </c>
    </row>
    <row r="20">
      <c r="A20" s="11" t="s">
        <v>29</v>
      </c>
      <c r="B20" s="13" t="s">
        <v>30</v>
      </c>
      <c r="C20" s="3"/>
      <c r="D20" s="19">
        <f>(D14*0.35)</f>
        <v>444.059</v>
      </c>
    </row>
    <row r="21">
      <c r="A21" s="11" t="s">
        <v>31</v>
      </c>
      <c r="B21" s="13" t="s">
        <v>32</v>
      </c>
      <c r="C21" s="3"/>
      <c r="D21" s="76">
        <v>47.05</v>
      </c>
    </row>
    <row r="22">
      <c r="A22" s="11" t="s">
        <v>33</v>
      </c>
      <c r="B22" s="13" t="s">
        <v>34</v>
      </c>
      <c r="C22" s="3"/>
      <c r="D22" s="21">
        <f>D14*14.03%</f>
        <v>178.004222</v>
      </c>
    </row>
    <row r="23">
      <c r="A23" s="11" t="s">
        <v>35</v>
      </c>
      <c r="B23" s="13" t="s">
        <v>36</v>
      </c>
      <c r="C23" s="3"/>
      <c r="D23" s="22">
        <f>D14*0.51/12</f>
        <v>53.92145</v>
      </c>
    </row>
    <row r="24">
      <c r="A24" s="11" t="s">
        <v>37</v>
      </c>
      <c r="B24" s="13" t="s">
        <v>38</v>
      </c>
      <c r="C24" s="3"/>
      <c r="D24" s="22" t="s">
        <v>22</v>
      </c>
    </row>
    <row r="25">
      <c r="A25" s="7" t="s">
        <v>39</v>
      </c>
      <c r="B25" s="2"/>
      <c r="C25" s="3"/>
      <c r="D25" s="23">
        <f>SUM(D14:D21)</f>
        <v>2614.662575</v>
      </c>
    </row>
    <row r="26" ht="15.75" customHeight="1">
      <c r="A26" s="77" t="s">
        <v>40</v>
      </c>
      <c r="B26" s="2"/>
      <c r="C26" s="2"/>
      <c r="D26" s="3"/>
    </row>
    <row r="27" ht="15.75" customHeight="1">
      <c r="A27" s="16" t="s">
        <v>41</v>
      </c>
      <c r="B27" s="2"/>
      <c r="C27" s="2"/>
      <c r="D27" s="3"/>
    </row>
    <row r="28" ht="15.75" customHeight="1">
      <c r="A28" s="30"/>
      <c r="B28" s="25"/>
      <c r="C28" s="25"/>
      <c r="D28" s="25"/>
    </row>
    <row r="29" ht="15.75" customHeight="1">
      <c r="A29" s="31" t="s">
        <v>42</v>
      </c>
      <c r="B29" s="28"/>
      <c r="C29" s="28"/>
      <c r="D29" s="28"/>
      <c r="F29" s="20" t="s">
        <v>43</v>
      </c>
    </row>
    <row r="30" ht="15.75" customHeight="1">
      <c r="A30" s="18" t="s">
        <v>44</v>
      </c>
      <c r="B30" s="7" t="s">
        <v>45</v>
      </c>
      <c r="C30" s="3"/>
      <c r="D30" s="18" t="s">
        <v>15</v>
      </c>
      <c r="F30" s="32">
        <f>SUM(D14:D20)</f>
        <v>2567.612575</v>
      </c>
    </row>
    <row r="31" ht="15.75" customHeight="1">
      <c r="A31" s="8" t="s">
        <v>16</v>
      </c>
      <c r="B31" s="9" t="s">
        <v>46</v>
      </c>
      <c r="C31" s="3"/>
      <c r="D31" s="33">
        <f>F30*0.0833</f>
        <v>213.8821275</v>
      </c>
    </row>
    <row r="32" ht="15.75" customHeight="1">
      <c r="A32" s="8" t="s">
        <v>18</v>
      </c>
      <c r="B32" s="13" t="s">
        <v>47</v>
      </c>
      <c r="C32" s="3"/>
      <c r="D32" s="33">
        <f>F30*0.0833</f>
        <v>213.8821275</v>
      </c>
    </row>
    <row r="33" ht="15.75" customHeight="1">
      <c r="A33" s="7" t="s">
        <v>39</v>
      </c>
      <c r="B33" s="2"/>
      <c r="C33" s="3"/>
      <c r="D33" s="33">
        <f>SUM(D31:D32)</f>
        <v>427.764255</v>
      </c>
    </row>
    <row r="34" ht="15.75" customHeight="1">
      <c r="A34" s="34"/>
    </row>
    <row r="35" ht="23.25" customHeight="1">
      <c r="A35" s="35" t="s">
        <v>48</v>
      </c>
    </row>
    <row r="36" ht="15.75" customHeight="1">
      <c r="A36" s="18" t="s">
        <v>49</v>
      </c>
      <c r="B36" s="18" t="s">
        <v>50</v>
      </c>
      <c r="C36" s="36" t="s">
        <v>51</v>
      </c>
      <c r="D36" s="18" t="s">
        <v>15</v>
      </c>
      <c r="E36" s="37"/>
      <c r="F36" s="36" t="s">
        <v>52</v>
      </c>
    </row>
    <row r="37" ht="15.75" customHeight="1">
      <c r="A37" s="8" t="s">
        <v>16</v>
      </c>
      <c r="B37" s="38" t="s">
        <v>53</v>
      </c>
      <c r="C37" s="39">
        <v>0.2</v>
      </c>
      <c r="D37" s="19">
        <f>F37*C37</f>
        <v>599.075366</v>
      </c>
      <c r="E37" s="40"/>
      <c r="F37" s="19">
        <f>SUM(D14:D20,D33)</f>
        <v>2995.37683</v>
      </c>
    </row>
    <row r="38" ht="15.75" customHeight="1">
      <c r="A38" s="8" t="s">
        <v>18</v>
      </c>
      <c r="B38" s="38" t="s">
        <v>54</v>
      </c>
      <c r="C38" s="39">
        <v>0.025</v>
      </c>
      <c r="D38" s="19">
        <f>F37*C38</f>
        <v>74.88442075</v>
      </c>
      <c r="E38" s="40"/>
      <c r="F38" s="41"/>
    </row>
    <row r="39" ht="15.75" customHeight="1">
      <c r="A39" s="8" t="s">
        <v>20</v>
      </c>
      <c r="B39" s="38" t="s">
        <v>55</v>
      </c>
      <c r="C39" s="39">
        <v>0.03</v>
      </c>
      <c r="D39" s="19">
        <f>F37*C39</f>
        <v>89.8613049</v>
      </c>
      <c r="E39" s="40"/>
      <c r="F39" s="41"/>
    </row>
    <row r="40" ht="15.75" customHeight="1">
      <c r="A40" s="8" t="s">
        <v>23</v>
      </c>
      <c r="B40" s="38" t="s">
        <v>56</v>
      </c>
      <c r="C40" s="39">
        <v>0.015</v>
      </c>
      <c r="D40" s="19">
        <f>F37*C40</f>
        <v>44.93065245</v>
      </c>
      <c r="E40" s="40"/>
      <c r="F40" s="41"/>
    </row>
    <row r="41" ht="15.75" customHeight="1">
      <c r="A41" s="8" t="s">
        <v>25</v>
      </c>
      <c r="B41" s="38" t="s">
        <v>57</v>
      </c>
      <c r="C41" s="39">
        <v>0.01</v>
      </c>
      <c r="D41" s="19">
        <f>F37*C41</f>
        <v>29.9537683</v>
      </c>
      <c r="E41" s="40"/>
      <c r="F41" s="41"/>
    </row>
    <row r="42" ht="15.75" customHeight="1">
      <c r="A42" s="8" t="s">
        <v>27</v>
      </c>
      <c r="B42" s="38" t="s">
        <v>58</v>
      </c>
      <c r="C42" s="39">
        <v>0.006</v>
      </c>
      <c r="D42" s="19">
        <f>F37*C42</f>
        <v>17.97226098</v>
      </c>
      <c r="E42" s="40"/>
      <c r="F42" s="41"/>
    </row>
    <row r="43" ht="15.75" customHeight="1">
      <c r="A43" s="8" t="s">
        <v>29</v>
      </c>
      <c r="B43" s="38" t="s">
        <v>59</v>
      </c>
      <c r="C43" s="39">
        <v>0.002</v>
      </c>
      <c r="D43" s="19">
        <f>F37*C43</f>
        <v>5.99075366</v>
      </c>
      <c r="E43" s="40"/>
      <c r="F43" s="41"/>
    </row>
    <row r="44" ht="15.75" customHeight="1">
      <c r="A44" s="8" t="s">
        <v>31</v>
      </c>
      <c r="B44" s="38" t="s">
        <v>60</v>
      </c>
      <c r="C44" s="39">
        <v>0.08</v>
      </c>
      <c r="D44" s="19">
        <f>F37*C44</f>
        <v>239.6301464</v>
      </c>
      <c r="E44" s="40"/>
      <c r="F44" s="41"/>
    </row>
    <row r="45" ht="15.75" customHeight="1">
      <c r="A45" s="7" t="s">
        <v>39</v>
      </c>
      <c r="B45" s="3"/>
      <c r="C45" s="43">
        <f t="shared" ref="C45:D45" si="1">SUM(C37:C44)</f>
        <v>0.368</v>
      </c>
      <c r="D45" s="19">
        <f t="shared" si="1"/>
        <v>1102.298673</v>
      </c>
      <c r="E45" s="40"/>
      <c r="F45" s="41"/>
    </row>
    <row r="46" ht="15.75" customHeight="1">
      <c r="A46" s="34"/>
    </row>
    <row r="47" ht="15.75" customHeight="1">
      <c r="A47" s="44" t="s">
        <v>61</v>
      </c>
      <c r="B47" s="28"/>
      <c r="C47" s="28"/>
      <c r="D47" s="28"/>
    </row>
    <row r="48" ht="15.75" customHeight="1">
      <c r="A48" s="18" t="s">
        <v>62</v>
      </c>
      <c r="B48" s="7" t="s">
        <v>63</v>
      </c>
      <c r="C48" s="3"/>
      <c r="D48" s="18" t="s">
        <v>15</v>
      </c>
      <c r="F48" s="45" t="s">
        <v>64</v>
      </c>
      <c r="G48" s="46"/>
      <c r="H48" s="47"/>
    </row>
    <row r="49" ht="15.75" customHeight="1">
      <c r="A49" s="8" t="s">
        <v>16</v>
      </c>
      <c r="B49" s="9" t="s">
        <v>65</v>
      </c>
      <c r="C49" s="3"/>
      <c r="D49" s="33">
        <f>(15*2*G49)-(0.06*0.5*D14)</f>
        <v>90.9378</v>
      </c>
      <c r="F49" s="48" t="s">
        <v>66</v>
      </c>
      <c r="G49" s="49">
        <v>4.3</v>
      </c>
      <c r="H49" s="47"/>
    </row>
    <row r="50" ht="15.75" customHeight="1">
      <c r="A50" s="8" t="s">
        <v>18</v>
      </c>
      <c r="B50" s="13" t="s">
        <v>67</v>
      </c>
      <c r="C50" s="3"/>
      <c r="D50" s="33">
        <f>(15*G51)-(0.15*15*G51)</f>
        <v>191.25</v>
      </c>
      <c r="F50" s="45" t="s">
        <v>68</v>
      </c>
      <c r="G50" s="46"/>
      <c r="H50" s="47"/>
    </row>
    <row r="51" ht="15.75" customHeight="1">
      <c r="A51" s="8" t="s">
        <v>20</v>
      </c>
      <c r="B51" s="9" t="s">
        <v>69</v>
      </c>
      <c r="C51" s="3"/>
      <c r="D51" s="50">
        <v>80.0</v>
      </c>
      <c r="F51" s="48" t="s">
        <v>70</v>
      </c>
      <c r="G51" s="51">
        <v>15.0</v>
      </c>
      <c r="H51" s="47"/>
    </row>
    <row r="52" ht="15.75" customHeight="1">
      <c r="A52" s="8" t="s">
        <v>23</v>
      </c>
      <c r="B52" s="9" t="s">
        <v>71</v>
      </c>
      <c r="C52" s="3"/>
      <c r="D52" s="50">
        <f>182.79*0.66</f>
        <v>120.6414</v>
      </c>
      <c r="F52" s="78"/>
      <c r="G52" s="46"/>
      <c r="H52" s="47"/>
    </row>
    <row r="53" ht="15.75" customHeight="1">
      <c r="A53" s="8" t="s">
        <v>25</v>
      </c>
      <c r="B53" s="13" t="s">
        <v>72</v>
      </c>
      <c r="C53" s="3"/>
      <c r="D53" s="33">
        <f>D14*1.5/12</f>
        <v>158.5925</v>
      </c>
      <c r="F53" s="79"/>
      <c r="G53" s="50"/>
      <c r="H53" s="47"/>
    </row>
    <row r="54" ht="15.75" customHeight="1">
      <c r="A54" s="7" t="s">
        <v>39</v>
      </c>
      <c r="B54" s="2"/>
      <c r="C54" s="3"/>
      <c r="D54" s="33">
        <f>SUM(D49:D53)</f>
        <v>641.4217</v>
      </c>
      <c r="H54" s="47"/>
    </row>
    <row r="55" ht="15.75" customHeight="1">
      <c r="A55" s="34"/>
      <c r="F55" s="52"/>
      <c r="G55" s="52"/>
    </row>
    <row r="56" ht="15.75" customHeight="1">
      <c r="A56" s="35" t="s">
        <v>73</v>
      </c>
      <c r="F56" s="52"/>
      <c r="G56" s="52"/>
    </row>
    <row r="57" ht="15.75" customHeight="1">
      <c r="A57" s="18">
        <v>2.0</v>
      </c>
      <c r="B57" s="7" t="s">
        <v>74</v>
      </c>
      <c r="C57" s="3"/>
      <c r="D57" s="18" t="s">
        <v>15</v>
      </c>
      <c r="F57" s="52"/>
      <c r="G57" s="52"/>
    </row>
    <row r="58" ht="15.75" customHeight="1">
      <c r="A58" s="8" t="s">
        <v>44</v>
      </c>
      <c r="B58" s="9" t="s">
        <v>45</v>
      </c>
      <c r="C58" s="3"/>
      <c r="D58" s="19">
        <f>D33</f>
        <v>427.764255</v>
      </c>
      <c r="F58" s="52"/>
      <c r="G58" s="52"/>
    </row>
    <row r="59" ht="15.75" customHeight="1">
      <c r="A59" s="8" t="s">
        <v>49</v>
      </c>
      <c r="B59" s="9" t="s">
        <v>50</v>
      </c>
      <c r="C59" s="3"/>
      <c r="D59" s="19">
        <f>D45</f>
        <v>1102.298673</v>
      </c>
      <c r="F59" s="52"/>
      <c r="G59" s="52"/>
    </row>
    <row r="60" ht="15.75" customHeight="1">
      <c r="A60" s="8" t="s">
        <v>62</v>
      </c>
      <c r="B60" s="9" t="s">
        <v>63</v>
      </c>
      <c r="C60" s="3"/>
      <c r="D60" s="19">
        <f>D54</f>
        <v>641.4217</v>
      </c>
      <c r="F60" s="52"/>
      <c r="G60" s="52"/>
    </row>
    <row r="61" ht="15.75" customHeight="1">
      <c r="A61" s="7" t="s">
        <v>39</v>
      </c>
      <c r="B61" s="2"/>
      <c r="C61" s="3"/>
      <c r="D61" s="23">
        <f>SUM(D58:D60)</f>
        <v>2171.484628</v>
      </c>
    </row>
    <row r="62" ht="15.75" customHeight="1">
      <c r="A62" s="15"/>
      <c r="B62" s="2"/>
      <c r="C62" s="2"/>
      <c r="D62" s="2"/>
    </row>
    <row r="63" ht="15.75" customHeight="1">
      <c r="A63" s="53" t="s">
        <v>75</v>
      </c>
      <c r="B63" s="2"/>
      <c r="C63" s="2"/>
      <c r="D63" s="3"/>
    </row>
    <row r="64" ht="15.75" customHeight="1">
      <c r="A64" s="54"/>
      <c r="B64" s="25"/>
      <c r="C64" s="25"/>
      <c r="D64" s="25"/>
    </row>
    <row r="65" ht="15.75" customHeight="1">
      <c r="A65" s="44" t="s">
        <v>76</v>
      </c>
      <c r="B65" s="28"/>
      <c r="C65" s="28"/>
      <c r="D65" s="28"/>
    </row>
    <row r="66" ht="15.75" customHeight="1">
      <c r="A66" s="55" t="s">
        <v>77</v>
      </c>
      <c r="B66" s="56" t="s">
        <v>78</v>
      </c>
      <c r="C66" s="29"/>
      <c r="D66" s="55" t="s">
        <v>15</v>
      </c>
    </row>
    <row r="67" ht="15.75" customHeight="1">
      <c r="A67" s="8" t="s">
        <v>16</v>
      </c>
      <c r="B67" s="9" t="s">
        <v>78</v>
      </c>
      <c r="C67" s="3"/>
      <c r="D67" s="33">
        <f>F30*0.42%</f>
        <v>10.78397282</v>
      </c>
    </row>
    <row r="68" ht="15.75" customHeight="1">
      <c r="A68" s="8" t="s">
        <v>18</v>
      </c>
      <c r="B68" s="57" t="s">
        <v>79</v>
      </c>
      <c r="D68" s="58">
        <f>D67*2.2%</f>
        <v>0.2372474019</v>
      </c>
    </row>
    <row r="69" ht="15.75" customHeight="1">
      <c r="A69" s="11" t="s">
        <v>20</v>
      </c>
      <c r="B69" s="9" t="s">
        <v>80</v>
      </c>
      <c r="C69" s="3"/>
      <c r="D69" s="33">
        <f>F30*2.5%</f>
        <v>64.19031438</v>
      </c>
    </row>
    <row r="70" ht="15.75" customHeight="1">
      <c r="A70" s="7" t="s">
        <v>39</v>
      </c>
      <c r="B70" s="2"/>
      <c r="C70" s="3"/>
      <c r="D70" s="33">
        <f>SUM(D67:D69)</f>
        <v>75.21153459</v>
      </c>
    </row>
    <row r="71" ht="15.75" customHeight="1">
      <c r="A71" s="30"/>
      <c r="B71" s="25"/>
      <c r="C71" s="25"/>
      <c r="D71" s="25"/>
    </row>
    <row r="72" ht="15.75" customHeight="1">
      <c r="A72" s="44" t="s">
        <v>81</v>
      </c>
      <c r="B72" s="28"/>
      <c r="C72" s="28"/>
      <c r="D72" s="28"/>
    </row>
    <row r="73" ht="15.75" customHeight="1">
      <c r="A73" s="55" t="s">
        <v>82</v>
      </c>
      <c r="B73" s="56" t="s">
        <v>83</v>
      </c>
      <c r="C73" s="29"/>
      <c r="D73" s="55" t="s">
        <v>15</v>
      </c>
    </row>
    <row r="74" ht="15.75" customHeight="1">
      <c r="A74" s="8" t="s">
        <v>16</v>
      </c>
      <c r="B74" s="9" t="s">
        <v>83</v>
      </c>
      <c r="C74" s="3"/>
      <c r="D74" s="33">
        <f>F30*1.94%</f>
        <v>49.81168396</v>
      </c>
    </row>
    <row r="75" ht="15.75" customHeight="1">
      <c r="A75" s="8" t="s">
        <v>18</v>
      </c>
      <c r="B75" s="59" t="s">
        <v>84</v>
      </c>
      <c r="C75" s="3"/>
      <c r="D75" s="58">
        <f>D74*2.2%</f>
        <v>1.095857047</v>
      </c>
    </row>
    <row r="76" ht="15.75" customHeight="1">
      <c r="A76" s="11" t="s">
        <v>20</v>
      </c>
      <c r="B76" s="9" t="s">
        <v>85</v>
      </c>
      <c r="C76" s="3"/>
      <c r="D76" s="33">
        <f>F30*2.5%</f>
        <v>64.19031438</v>
      </c>
    </row>
    <row r="77" ht="15.75" customHeight="1">
      <c r="A77" s="7" t="s">
        <v>39</v>
      </c>
      <c r="B77" s="2"/>
      <c r="C77" s="3"/>
      <c r="D77" s="33">
        <f>SUM(D74:D76)</f>
        <v>115.0978554</v>
      </c>
    </row>
    <row r="78" ht="15.75" customHeight="1">
      <c r="A78" s="35"/>
    </row>
    <row r="79" ht="15.75" customHeight="1">
      <c r="A79" s="60" t="s">
        <v>86</v>
      </c>
    </row>
    <row r="80" ht="15.75" customHeight="1">
      <c r="A80" s="35"/>
      <c r="B80" s="35"/>
      <c r="C80" s="35"/>
      <c r="D80" s="35"/>
    </row>
    <row r="81" ht="15.75" customHeight="1">
      <c r="A81" s="44" t="s">
        <v>87</v>
      </c>
      <c r="B81" s="28"/>
      <c r="C81" s="28"/>
      <c r="D81" s="28"/>
    </row>
    <row r="82" ht="15.75" customHeight="1">
      <c r="A82" s="55">
        <v>3.0</v>
      </c>
      <c r="B82" s="56" t="s">
        <v>88</v>
      </c>
      <c r="C82" s="29"/>
      <c r="D82" s="55" t="s">
        <v>15</v>
      </c>
    </row>
    <row r="83" ht="15.75" customHeight="1">
      <c r="A83" s="8" t="s">
        <v>77</v>
      </c>
      <c r="B83" s="9" t="s">
        <v>78</v>
      </c>
      <c r="C83" s="3"/>
      <c r="D83" s="33">
        <f>D70</f>
        <v>75.21153459</v>
      </c>
    </row>
    <row r="84" ht="15.75" customHeight="1">
      <c r="A84" s="8" t="s">
        <v>82</v>
      </c>
      <c r="B84" s="9" t="s">
        <v>83</v>
      </c>
      <c r="C84" s="3"/>
      <c r="D84" s="33">
        <f>D77</f>
        <v>115.0978554</v>
      </c>
    </row>
    <row r="85" ht="15.75" customHeight="1">
      <c r="A85" s="7" t="s">
        <v>39</v>
      </c>
      <c r="B85" s="2"/>
      <c r="C85" s="3"/>
      <c r="D85" s="61">
        <f>SUM(D83:D84)</f>
        <v>190.30939</v>
      </c>
    </row>
    <row r="86" ht="15.75" customHeight="1">
      <c r="A86" s="31"/>
      <c r="B86" s="28"/>
      <c r="C86" s="28"/>
      <c r="D86" s="28"/>
    </row>
    <row r="87" ht="15.75" customHeight="1">
      <c r="A87" s="62" t="s">
        <v>89</v>
      </c>
      <c r="B87" s="63"/>
      <c r="C87" s="63"/>
      <c r="D87" s="64"/>
    </row>
    <row r="88" ht="15.75" customHeight="1">
      <c r="A88" s="34"/>
    </row>
    <row r="89" ht="15.75" customHeight="1">
      <c r="A89" s="44" t="s">
        <v>90</v>
      </c>
      <c r="B89" s="28"/>
      <c r="C89" s="28"/>
      <c r="D89" s="28"/>
    </row>
    <row r="90" ht="15.75" customHeight="1">
      <c r="A90" s="55" t="s">
        <v>91</v>
      </c>
      <c r="B90" s="56" t="s">
        <v>92</v>
      </c>
      <c r="C90" s="29"/>
      <c r="D90" s="55" t="s">
        <v>15</v>
      </c>
    </row>
    <row r="91" ht="15.75" customHeight="1">
      <c r="A91" s="8" t="s">
        <v>16</v>
      </c>
      <c r="B91" s="9" t="s">
        <v>47</v>
      </c>
      <c r="C91" s="3"/>
      <c r="D91" s="65">
        <f>F30*9.075%</f>
        <v>233.0108412</v>
      </c>
    </row>
    <row r="92" ht="15.75" customHeight="1">
      <c r="A92" s="8" t="s">
        <v>18</v>
      </c>
      <c r="B92" s="9" t="s">
        <v>93</v>
      </c>
      <c r="C92" s="3"/>
      <c r="D92" s="19">
        <f>(1*1)*(365/365)*((D25+D61+D85)/30)/12</f>
        <v>13.82349054</v>
      </c>
    </row>
    <row r="93" ht="15.75" customHeight="1">
      <c r="A93" s="8" t="s">
        <v>20</v>
      </c>
      <c r="B93" s="9" t="s">
        <v>94</v>
      </c>
      <c r="C93" s="3"/>
      <c r="D93" s="19">
        <f>(0.5*5)*(0.5)*((D25+D61+D85)/30)/12</f>
        <v>17.27936317</v>
      </c>
    </row>
    <row r="94" ht="15.75" customHeight="1">
      <c r="A94" s="8" t="s">
        <v>23</v>
      </c>
      <c r="B94" s="66" t="s">
        <v>95</v>
      </c>
      <c r="C94" s="3"/>
      <c r="D94" s="19">
        <f>(0.0922*15)*(0.5)*((D25+D61+D85)/30)/12</f>
        <v>9.558943706</v>
      </c>
    </row>
    <row r="95" ht="15.75" customHeight="1">
      <c r="A95" s="8" t="s">
        <v>25</v>
      </c>
      <c r="B95" s="66" t="s">
        <v>96</v>
      </c>
      <c r="C95" s="3"/>
      <c r="D95" s="19">
        <f>(1*5)*(0.5)*((D25+D61+D85)/30)/12</f>
        <v>34.55872634</v>
      </c>
    </row>
    <row r="96" ht="15.75" customHeight="1">
      <c r="A96" s="8" t="s">
        <v>27</v>
      </c>
      <c r="B96" s="66" t="s">
        <v>97</v>
      </c>
      <c r="C96" s="3"/>
      <c r="D96" s="19">
        <f>(0.1344*2)*(365/365)*((D25+D61+D85)/30)/12</f>
        <v>3.715754256</v>
      </c>
    </row>
    <row r="97" ht="15.75" customHeight="1">
      <c r="A97" s="8" t="s">
        <v>29</v>
      </c>
      <c r="B97" s="66" t="s">
        <v>98</v>
      </c>
      <c r="C97" s="3"/>
      <c r="D97" s="19">
        <f>(0.0305*2)*(0.5)*((D25+D61+D85)/30)/12</f>
        <v>0.4216164614</v>
      </c>
    </row>
    <row r="98" ht="15.75" customHeight="1">
      <c r="A98" s="8" t="s">
        <v>31</v>
      </c>
      <c r="B98" s="66" t="s">
        <v>99</v>
      </c>
      <c r="C98" s="3"/>
      <c r="D98" s="19">
        <f>(0.0118*3)*(0.5)*((D25+D61+D85)/30)/12</f>
        <v>0.2446757825</v>
      </c>
    </row>
    <row r="99" ht="15.75" customHeight="1">
      <c r="A99" s="8" t="s">
        <v>33</v>
      </c>
      <c r="B99" s="66" t="s">
        <v>100</v>
      </c>
      <c r="C99" s="3"/>
      <c r="D99" s="19">
        <f>(0.02*1)*(365/365)*((D25+D61+D85)/30)/12</f>
        <v>0.2764698107</v>
      </c>
    </row>
    <row r="100" ht="15.75" customHeight="1">
      <c r="A100" s="8" t="s">
        <v>35</v>
      </c>
      <c r="B100" s="66" t="s">
        <v>101</v>
      </c>
      <c r="C100" s="3"/>
      <c r="D100" s="19">
        <f>(0.004*1)*(365/365)*((D25+D61+D85)/30)/12</f>
        <v>0.05529396215</v>
      </c>
    </row>
    <row r="101" ht="15.75" customHeight="1">
      <c r="A101" s="8" t="s">
        <v>37</v>
      </c>
      <c r="B101" s="66" t="s">
        <v>102</v>
      </c>
      <c r="C101" s="3"/>
      <c r="D101" s="19">
        <f>(0.0325*20)*(0.5)*((D25+D61+D85)/30)/12</f>
        <v>4.492634425</v>
      </c>
    </row>
    <row r="102" ht="15.75" customHeight="1">
      <c r="A102" s="8" t="s">
        <v>103</v>
      </c>
      <c r="B102" s="66" t="s">
        <v>104</v>
      </c>
      <c r="C102" s="3"/>
      <c r="D102" s="19">
        <f>(0.0028*180)*(0.5)*((D25+D61+D85)/30)/12</f>
        <v>3.483519615</v>
      </c>
    </row>
    <row r="103" ht="15.75" customHeight="1">
      <c r="A103" s="8" t="s">
        <v>105</v>
      </c>
      <c r="B103" s="66" t="s">
        <v>106</v>
      </c>
      <c r="C103" s="3"/>
      <c r="D103" s="19">
        <f>(0.0002*6)*(365/365)*((D25+D61+D85)/30)/12</f>
        <v>0.01658818864</v>
      </c>
    </row>
    <row r="104" ht="15.75" customHeight="1">
      <c r="A104" s="7" t="s">
        <v>39</v>
      </c>
      <c r="B104" s="2"/>
      <c r="C104" s="3"/>
      <c r="D104" s="19">
        <f>SUM(D91:D103)</f>
        <v>320.9379174</v>
      </c>
    </row>
    <row r="105" ht="15.75" customHeight="1">
      <c r="A105" s="30"/>
      <c r="B105" s="25"/>
      <c r="C105" s="25"/>
      <c r="D105" s="25"/>
    </row>
    <row r="106" ht="15.75" customHeight="1">
      <c r="A106" s="44" t="s">
        <v>107</v>
      </c>
      <c r="B106" s="28"/>
      <c r="C106" s="28"/>
      <c r="D106" s="28"/>
    </row>
    <row r="107" ht="21.75" customHeight="1">
      <c r="A107" s="55" t="s">
        <v>108</v>
      </c>
      <c r="B107" s="56" t="s">
        <v>109</v>
      </c>
      <c r="C107" s="29"/>
      <c r="D107" s="55" t="s">
        <v>15</v>
      </c>
    </row>
    <row r="108" ht="15.75" customHeight="1">
      <c r="A108" s="8" t="s">
        <v>16</v>
      </c>
      <c r="B108" s="9" t="s">
        <v>110</v>
      </c>
      <c r="C108" s="3"/>
      <c r="D108" s="19">
        <f>((((D25/180)*1.2)*1.5)*15)</f>
        <v>392.1993863</v>
      </c>
    </row>
    <row r="109" ht="15.75" customHeight="1">
      <c r="A109" s="7" t="s">
        <v>39</v>
      </c>
      <c r="B109" s="2"/>
      <c r="C109" s="3"/>
      <c r="D109" s="19">
        <f>SUM(D108)</f>
        <v>392.1993863</v>
      </c>
    </row>
    <row r="110" ht="15.75" customHeight="1">
      <c r="A110" s="30"/>
      <c r="B110" s="25"/>
      <c r="C110" s="25"/>
      <c r="D110" s="25"/>
    </row>
    <row r="111" ht="15.75" customHeight="1">
      <c r="A111" s="44" t="s">
        <v>111</v>
      </c>
      <c r="B111" s="28"/>
      <c r="C111" s="28"/>
      <c r="D111" s="28"/>
    </row>
    <row r="112" ht="15.75" customHeight="1">
      <c r="A112" s="55">
        <v>4.0</v>
      </c>
      <c r="B112" s="56" t="s">
        <v>112</v>
      </c>
      <c r="C112" s="29"/>
      <c r="D112" s="55" t="s">
        <v>15</v>
      </c>
    </row>
    <row r="113" ht="15.75" customHeight="1">
      <c r="A113" s="8" t="s">
        <v>91</v>
      </c>
      <c r="B113" s="9" t="s">
        <v>92</v>
      </c>
      <c r="C113" s="3"/>
      <c r="D113" s="33">
        <f>D104</f>
        <v>320.9379174</v>
      </c>
    </row>
    <row r="114" ht="15.75" customHeight="1">
      <c r="A114" s="8" t="s">
        <v>108</v>
      </c>
      <c r="B114" s="9" t="s">
        <v>109</v>
      </c>
      <c r="C114" s="3"/>
      <c r="D114" s="33">
        <f>D109</f>
        <v>392.1993863</v>
      </c>
    </row>
    <row r="115" ht="15.75" customHeight="1">
      <c r="A115" s="7" t="s">
        <v>39</v>
      </c>
      <c r="B115" s="2"/>
      <c r="C115" s="3"/>
      <c r="D115" s="61">
        <f>SUM(D113:D114)</f>
        <v>713.1373037</v>
      </c>
    </row>
    <row r="116" ht="15.75" customHeight="1">
      <c r="A116" s="15"/>
      <c r="B116" s="2"/>
      <c r="C116" s="2"/>
      <c r="D116" s="2"/>
    </row>
    <row r="117" ht="15.75" customHeight="1">
      <c r="A117" s="53" t="s">
        <v>113</v>
      </c>
      <c r="B117" s="2"/>
      <c r="C117" s="2"/>
      <c r="D117" s="3"/>
    </row>
    <row r="118" ht="15.75" customHeight="1">
      <c r="A118" s="17"/>
      <c r="B118" s="2"/>
      <c r="C118" s="2"/>
      <c r="D118" s="2"/>
    </row>
    <row r="119" ht="15.75" customHeight="1">
      <c r="A119" s="18">
        <v>5.0</v>
      </c>
      <c r="B119" s="7" t="s">
        <v>114</v>
      </c>
      <c r="C119" s="3"/>
      <c r="D119" s="18" t="s">
        <v>15</v>
      </c>
      <c r="F119" s="67" t="s">
        <v>115</v>
      </c>
    </row>
    <row r="120" ht="15.75" customHeight="1">
      <c r="A120" s="8" t="s">
        <v>16</v>
      </c>
      <c r="B120" s="9" t="s">
        <v>116</v>
      </c>
      <c r="C120" s="3"/>
      <c r="D120" s="33">
        <f>Uniformes!E13</f>
        <v>59.89416667</v>
      </c>
      <c r="F120" s="33">
        <f>(((D144+D128+D129)/(1-8.65%)))</f>
        <v>7258.718552</v>
      </c>
    </row>
    <row r="121" ht="15.75" customHeight="1">
      <c r="A121" s="8" t="s">
        <v>18</v>
      </c>
      <c r="B121" s="9" t="s">
        <v>117</v>
      </c>
      <c r="C121" s="3"/>
      <c r="D121" s="33">
        <f>'Utensílios e materiais'!F9</f>
        <v>2.71671875</v>
      </c>
      <c r="F121" s="67" t="s">
        <v>118</v>
      </c>
    </row>
    <row r="122" ht="15.75" customHeight="1">
      <c r="A122" s="8" t="s">
        <v>20</v>
      </c>
      <c r="B122" s="9" t="s">
        <v>119</v>
      </c>
      <c r="C122" s="3"/>
      <c r="D122" s="33">
        <f>Equipamentos!F10</f>
        <v>39.93305556</v>
      </c>
      <c r="F122" s="68">
        <f>((D144+F128+F129)/(1-14.25%))</f>
        <v>7732.757314</v>
      </c>
    </row>
    <row r="123" ht="15.75" customHeight="1">
      <c r="A123" s="7" t="s">
        <v>39</v>
      </c>
      <c r="B123" s="2"/>
      <c r="C123" s="3"/>
      <c r="D123" s="61">
        <f>SUM(D120:D122)</f>
        <v>102.543941</v>
      </c>
    </row>
    <row r="124" ht="15.75" customHeight="1">
      <c r="A124" s="69"/>
      <c r="B124" s="28"/>
      <c r="C124" s="28"/>
      <c r="D124" s="28"/>
    </row>
    <row r="125" ht="15.75" customHeight="1">
      <c r="A125" s="53" t="s">
        <v>120</v>
      </c>
      <c r="B125" s="2"/>
      <c r="C125" s="2"/>
      <c r="D125" s="3"/>
    </row>
    <row r="126" ht="15.75" customHeight="1">
      <c r="A126" s="17"/>
      <c r="B126" s="17"/>
      <c r="C126" s="70" t="s">
        <v>121</v>
      </c>
      <c r="D126" s="2"/>
      <c r="E126" s="71" t="s">
        <v>122</v>
      </c>
      <c r="F126" s="3"/>
    </row>
    <row r="127" ht="15.75" customHeight="1">
      <c r="A127" s="18">
        <v>6.0</v>
      </c>
      <c r="B127" s="18" t="s">
        <v>114</v>
      </c>
      <c r="C127" s="18" t="s">
        <v>123</v>
      </c>
      <c r="D127" s="18" t="s">
        <v>15</v>
      </c>
      <c r="E127" s="18" t="s">
        <v>123</v>
      </c>
      <c r="F127" s="18" t="s">
        <v>15</v>
      </c>
    </row>
    <row r="128" ht="15.75" customHeight="1">
      <c r="A128" s="8" t="s">
        <v>16</v>
      </c>
      <c r="B128" s="38" t="s">
        <v>124</v>
      </c>
      <c r="C128" s="50">
        <v>6.0</v>
      </c>
      <c r="D128" s="33">
        <f>(D144*C128)*0.01</f>
        <v>347.5282703</v>
      </c>
      <c r="E128" s="72">
        <v>6.0</v>
      </c>
      <c r="F128" s="33">
        <f>D144*6%</f>
        <v>347.5282703</v>
      </c>
    </row>
    <row r="129" ht="15.75" customHeight="1">
      <c r="A129" s="8" t="s">
        <v>18</v>
      </c>
      <c r="B129" s="38" t="s">
        <v>125</v>
      </c>
      <c r="C129" s="50">
        <v>8.0</v>
      </c>
      <c r="D129" s="33">
        <f>(D144+D128)*0.01*C129</f>
        <v>491.1732887</v>
      </c>
      <c r="E129" s="72">
        <v>8.0</v>
      </c>
      <c r="F129" s="33">
        <f>(D144+F128)*E129*0.01</f>
        <v>491.1732887</v>
      </c>
    </row>
    <row r="130" ht="15.75" customHeight="1">
      <c r="A130" s="8" t="s">
        <v>20</v>
      </c>
      <c r="B130" s="38" t="s">
        <v>126</v>
      </c>
      <c r="C130" s="33">
        <f>SUM(C131:C133)</f>
        <v>8.65</v>
      </c>
      <c r="D130" s="73"/>
      <c r="E130" s="72">
        <f>SUM(E131:E133)</f>
        <v>14.25</v>
      </c>
      <c r="F130" s="33"/>
    </row>
    <row r="131" ht="15.75" customHeight="1">
      <c r="A131" s="8"/>
      <c r="B131" s="80" t="s">
        <v>137</v>
      </c>
      <c r="C131" s="33">
        <v>3.65</v>
      </c>
      <c r="D131" s="33">
        <f>F120*3.65%</f>
        <v>264.9432271</v>
      </c>
      <c r="E131" s="72">
        <f>1.65+7.6</f>
        <v>9.25</v>
      </c>
      <c r="F131" s="58">
        <f>F122*9.25%</f>
        <v>715.2800516</v>
      </c>
    </row>
    <row r="132" ht="15.75" customHeight="1">
      <c r="A132" s="8"/>
      <c r="B132" s="80" t="s">
        <v>138</v>
      </c>
      <c r="C132" s="33"/>
      <c r="D132" s="33"/>
      <c r="E132" s="74"/>
      <c r="F132" s="58"/>
    </row>
    <row r="133" ht="15.75" customHeight="1">
      <c r="A133" s="8"/>
      <c r="B133" s="38" t="s">
        <v>129</v>
      </c>
      <c r="C133" s="33">
        <v>5.0</v>
      </c>
      <c r="D133" s="33">
        <f>F120*5%</f>
        <v>362.9359276</v>
      </c>
      <c r="E133" s="72">
        <v>5.0</v>
      </c>
      <c r="F133" s="58">
        <f>F122*5%</f>
        <v>386.6378657</v>
      </c>
    </row>
    <row r="134" ht="15.75" customHeight="1">
      <c r="A134" s="7" t="s">
        <v>39</v>
      </c>
      <c r="B134" s="3"/>
      <c r="C134" s="19">
        <f>SUM(C128:C130)</f>
        <v>22.65</v>
      </c>
      <c r="D134" s="23">
        <f>SUM(D128:D133)</f>
        <v>1466.580714</v>
      </c>
      <c r="E134" s="74">
        <f>SUM(E128:E130)</f>
        <v>28.25</v>
      </c>
      <c r="F134" s="81">
        <f>SUM(F128:F133)</f>
        <v>1940.619476</v>
      </c>
    </row>
    <row r="135" ht="15.75" customHeight="1">
      <c r="A135" s="34"/>
    </row>
    <row r="136" ht="15.0" customHeight="1">
      <c r="A136" s="75" t="s">
        <v>130</v>
      </c>
      <c r="B136" s="2"/>
      <c r="C136" s="2"/>
      <c r="D136" s="3"/>
    </row>
    <row r="137" ht="15.75" customHeight="1">
      <c r="A137" s="17"/>
      <c r="B137" s="2"/>
      <c r="C137" s="2"/>
      <c r="D137" s="2"/>
    </row>
    <row r="138" ht="15.75" customHeight="1">
      <c r="A138" s="7" t="s">
        <v>131</v>
      </c>
      <c r="B138" s="2"/>
      <c r="C138" s="3"/>
      <c r="D138" s="18" t="s">
        <v>15</v>
      </c>
      <c r="F138" s="18" t="s">
        <v>15</v>
      </c>
    </row>
    <row r="139" ht="15.75" customHeight="1">
      <c r="A139" s="18" t="s">
        <v>16</v>
      </c>
      <c r="B139" s="9" t="s">
        <v>13</v>
      </c>
      <c r="C139" s="3"/>
      <c r="D139" s="19">
        <f>D25</f>
        <v>2614.662575</v>
      </c>
      <c r="F139" s="19">
        <f t="shared" ref="F139:F143" si="2">D139</f>
        <v>2614.662575</v>
      </c>
    </row>
    <row r="140" ht="15.75" customHeight="1">
      <c r="A140" s="18" t="s">
        <v>18</v>
      </c>
      <c r="B140" s="9" t="s">
        <v>41</v>
      </c>
      <c r="C140" s="3"/>
      <c r="D140" s="19">
        <f>D61</f>
        <v>2171.484628</v>
      </c>
      <c r="F140" s="19">
        <f t="shared" si="2"/>
        <v>2171.484628</v>
      </c>
    </row>
    <row r="141" ht="15.75" customHeight="1">
      <c r="A141" s="18" t="s">
        <v>20</v>
      </c>
      <c r="B141" s="9" t="s">
        <v>75</v>
      </c>
      <c r="C141" s="3"/>
      <c r="D141" s="19">
        <f>D85</f>
        <v>190.30939</v>
      </c>
      <c r="F141" s="19">
        <f t="shared" si="2"/>
        <v>190.30939</v>
      </c>
    </row>
    <row r="142" ht="15.75" customHeight="1">
      <c r="A142" s="18" t="s">
        <v>23</v>
      </c>
      <c r="B142" s="9" t="s">
        <v>89</v>
      </c>
      <c r="C142" s="3"/>
      <c r="D142" s="19">
        <f>D115</f>
        <v>713.1373037</v>
      </c>
      <c r="F142" s="19">
        <f t="shared" si="2"/>
        <v>713.1373037</v>
      </c>
    </row>
    <row r="143" ht="15.75" customHeight="1">
      <c r="A143" s="18" t="s">
        <v>25</v>
      </c>
      <c r="B143" s="9" t="s">
        <v>113</v>
      </c>
      <c r="C143" s="3"/>
      <c r="D143" s="19">
        <f>D123</f>
        <v>102.543941</v>
      </c>
      <c r="F143" s="19">
        <f t="shared" si="2"/>
        <v>102.543941</v>
      </c>
    </row>
    <row r="144" ht="15.75" customHeight="1">
      <c r="A144" s="7" t="s">
        <v>132</v>
      </c>
      <c r="B144" s="2"/>
      <c r="C144" s="3"/>
      <c r="D144" s="19">
        <f>SUM(D139:D143)</f>
        <v>5792.137838</v>
      </c>
      <c r="F144" s="19">
        <f>SUM(F139:F143)</f>
        <v>5792.137838</v>
      </c>
    </row>
    <row r="145" ht="15.75" customHeight="1">
      <c r="A145" s="18" t="s">
        <v>27</v>
      </c>
      <c r="B145" s="9" t="s">
        <v>120</v>
      </c>
      <c r="C145" s="3"/>
      <c r="D145" s="19">
        <f>D134</f>
        <v>1466.580714</v>
      </c>
      <c r="F145" s="19">
        <f>F134</f>
        <v>1940.619476</v>
      </c>
    </row>
    <row r="146" ht="15.75" customHeight="1">
      <c r="A146" s="7" t="s">
        <v>133</v>
      </c>
      <c r="B146" s="2"/>
      <c r="C146" s="3"/>
      <c r="D146" s="23">
        <f>ROUND(SUM(D144:D145),2)</f>
        <v>7258.72</v>
      </c>
      <c r="F146" s="23">
        <f>ROUND(SUM(F144:F145),2)</f>
        <v>7732.76</v>
      </c>
    </row>
    <row r="147" ht="15.75" customHeight="1">
      <c r="A147" s="7" t="s">
        <v>134</v>
      </c>
      <c r="B147" s="2"/>
      <c r="C147" s="3"/>
      <c r="D147" s="23">
        <f>2*D146</f>
        <v>14517.44</v>
      </c>
      <c r="F147" s="23">
        <f>2*F146</f>
        <v>15465.52</v>
      </c>
    </row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34">
    <mergeCell ref="A1:D1"/>
    <mergeCell ref="A2:D2"/>
    <mergeCell ref="A3:D3"/>
    <mergeCell ref="B4:C4"/>
    <mergeCell ref="B5:C5"/>
    <mergeCell ref="B6:C6"/>
    <mergeCell ref="B7:C7"/>
    <mergeCell ref="B8:C8"/>
    <mergeCell ref="B9:C9"/>
    <mergeCell ref="A10:D10"/>
    <mergeCell ref="A11:D11"/>
    <mergeCell ref="A12:D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5:C25"/>
    <mergeCell ref="A26:D26"/>
    <mergeCell ref="A27:D27"/>
    <mergeCell ref="A28:D28"/>
    <mergeCell ref="A29:D29"/>
    <mergeCell ref="B30:C30"/>
    <mergeCell ref="B31:C31"/>
    <mergeCell ref="B32:C32"/>
    <mergeCell ref="A33:C33"/>
    <mergeCell ref="A34:D34"/>
    <mergeCell ref="A35:D35"/>
    <mergeCell ref="A45:B45"/>
    <mergeCell ref="A46:D46"/>
    <mergeCell ref="A47:D47"/>
    <mergeCell ref="B48:C48"/>
    <mergeCell ref="F48:G48"/>
    <mergeCell ref="B49:C49"/>
    <mergeCell ref="F50:G50"/>
    <mergeCell ref="B50:C50"/>
    <mergeCell ref="B51:C51"/>
    <mergeCell ref="B52:C52"/>
    <mergeCell ref="F52:G52"/>
    <mergeCell ref="B53:C53"/>
    <mergeCell ref="A54:C54"/>
    <mergeCell ref="A55:D55"/>
    <mergeCell ref="B99:C99"/>
    <mergeCell ref="B100:C100"/>
    <mergeCell ref="B101:C101"/>
    <mergeCell ref="B102:C102"/>
    <mergeCell ref="B103:C103"/>
    <mergeCell ref="A104:C104"/>
    <mergeCell ref="A105:D105"/>
    <mergeCell ref="A106:D106"/>
    <mergeCell ref="B107:C107"/>
    <mergeCell ref="B108:C108"/>
    <mergeCell ref="A109:C109"/>
    <mergeCell ref="A110:D110"/>
    <mergeCell ref="A111:D111"/>
    <mergeCell ref="B112:C112"/>
    <mergeCell ref="E126:F126"/>
    <mergeCell ref="B113:C113"/>
    <mergeCell ref="B114:C114"/>
    <mergeCell ref="A115:C115"/>
    <mergeCell ref="A116:D116"/>
    <mergeCell ref="A117:D117"/>
    <mergeCell ref="A118:D118"/>
    <mergeCell ref="B119:C119"/>
    <mergeCell ref="B120:C120"/>
    <mergeCell ref="B121:C121"/>
    <mergeCell ref="B122:C122"/>
    <mergeCell ref="A123:C123"/>
    <mergeCell ref="A124:D124"/>
    <mergeCell ref="A125:D125"/>
    <mergeCell ref="C126:D126"/>
    <mergeCell ref="A56:D56"/>
    <mergeCell ref="B57:C57"/>
    <mergeCell ref="B58:C58"/>
    <mergeCell ref="B59:C59"/>
    <mergeCell ref="B60:C60"/>
    <mergeCell ref="A61:C61"/>
    <mergeCell ref="A62:D62"/>
    <mergeCell ref="A63:D63"/>
    <mergeCell ref="A64:D64"/>
    <mergeCell ref="A65:D65"/>
    <mergeCell ref="B66:C66"/>
    <mergeCell ref="B67:C67"/>
    <mergeCell ref="B68:C68"/>
    <mergeCell ref="B69:C69"/>
    <mergeCell ref="A70:C70"/>
    <mergeCell ref="A71:D71"/>
    <mergeCell ref="A72:D72"/>
    <mergeCell ref="B73:C73"/>
    <mergeCell ref="B74:C74"/>
    <mergeCell ref="B75:C75"/>
    <mergeCell ref="B76:C76"/>
    <mergeCell ref="A77:C77"/>
    <mergeCell ref="A78:D78"/>
    <mergeCell ref="A79:D79"/>
    <mergeCell ref="A81:D81"/>
    <mergeCell ref="B82:C82"/>
    <mergeCell ref="B83:C83"/>
    <mergeCell ref="B84:C84"/>
    <mergeCell ref="A85:C85"/>
    <mergeCell ref="A86:D86"/>
    <mergeCell ref="A87:D87"/>
    <mergeCell ref="A88:D88"/>
    <mergeCell ref="A89:D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141:C141"/>
    <mergeCell ref="B142:C142"/>
    <mergeCell ref="B143:C143"/>
    <mergeCell ref="A144:C144"/>
    <mergeCell ref="B145:C145"/>
    <mergeCell ref="A146:C146"/>
    <mergeCell ref="A147:C147"/>
    <mergeCell ref="A134:B134"/>
    <mergeCell ref="A135:D135"/>
    <mergeCell ref="A136:D136"/>
    <mergeCell ref="A137:D137"/>
    <mergeCell ref="A138:C138"/>
    <mergeCell ref="B139:C139"/>
    <mergeCell ref="B140:C14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48.57"/>
    <col customWidth="1" min="3" max="3" width="15.57"/>
    <col customWidth="1" min="4" max="4" width="24.43"/>
    <col customWidth="1" min="5" max="5" width="10.43"/>
    <col customWidth="1" min="6" max="6" width="29.86"/>
    <col customWidth="1" min="7" max="7" width="8.86"/>
    <col customWidth="1" min="8" max="8" width="18.0"/>
    <col customWidth="1" min="9" max="26" width="8.86"/>
  </cols>
  <sheetData>
    <row r="1">
      <c r="A1" s="1" t="s">
        <v>0</v>
      </c>
      <c r="B1" s="2"/>
      <c r="C1" s="2"/>
      <c r="D1" s="3"/>
    </row>
    <row r="2">
      <c r="A2" s="4"/>
      <c r="B2" s="5"/>
      <c r="C2" s="5"/>
      <c r="D2" s="6"/>
    </row>
    <row r="3">
      <c r="A3" s="7" t="s">
        <v>1</v>
      </c>
      <c r="B3" s="2"/>
      <c r="C3" s="2"/>
      <c r="D3" s="3"/>
    </row>
    <row r="4">
      <c r="A4" s="8">
        <v>1.0</v>
      </c>
      <c r="B4" s="9" t="s">
        <v>2</v>
      </c>
      <c r="C4" s="3"/>
      <c r="D4" s="8" t="s">
        <v>3</v>
      </c>
    </row>
    <row r="5">
      <c r="A5" s="8">
        <v>2.0</v>
      </c>
      <c r="B5" s="9" t="s">
        <v>4</v>
      </c>
      <c r="C5" s="3"/>
      <c r="D5" s="8" t="s">
        <v>5</v>
      </c>
    </row>
    <row r="6">
      <c r="A6" s="8">
        <v>3.0</v>
      </c>
      <c r="B6" s="9" t="s">
        <v>6</v>
      </c>
      <c r="C6" s="3"/>
      <c r="D6" s="10">
        <v>1268.74</v>
      </c>
    </row>
    <row r="7">
      <c r="A7" s="8">
        <v>4.0</v>
      </c>
      <c r="B7" s="9" t="s">
        <v>7</v>
      </c>
      <c r="C7" s="3"/>
      <c r="D7" s="11" t="s">
        <v>139</v>
      </c>
    </row>
    <row r="8">
      <c r="A8" s="8">
        <v>5.0</v>
      </c>
      <c r="B8" s="9" t="s">
        <v>9</v>
      </c>
      <c r="C8" s="3"/>
      <c r="D8" s="11" t="s">
        <v>10</v>
      </c>
      <c r="E8" s="12">
        <v>44593.0</v>
      </c>
    </row>
    <row r="9">
      <c r="A9" s="8">
        <v>6.0</v>
      </c>
      <c r="B9" s="13" t="s">
        <v>11</v>
      </c>
      <c r="C9" s="3"/>
      <c r="D9" s="14" t="s">
        <v>12</v>
      </c>
    </row>
    <row r="10">
      <c r="A10" s="15"/>
      <c r="B10" s="2"/>
      <c r="C10" s="2"/>
      <c r="D10" s="2"/>
    </row>
    <row r="11">
      <c r="A11" s="16" t="s">
        <v>13</v>
      </c>
      <c r="B11" s="2"/>
      <c r="C11" s="2"/>
      <c r="D11" s="3"/>
    </row>
    <row r="12">
      <c r="A12" s="17"/>
      <c r="B12" s="2"/>
      <c r="C12" s="2"/>
      <c r="D12" s="2"/>
    </row>
    <row r="13">
      <c r="A13" s="18">
        <v>1.0</v>
      </c>
      <c r="B13" s="7" t="s">
        <v>14</v>
      </c>
      <c r="C13" s="3"/>
      <c r="D13" s="18" t="s">
        <v>15</v>
      </c>
    </row>
    <row r="14">
      <c r="A14" s="8" t="s">
        <v>16</v>
      </c>
      <c r="B14" s="9" t="s">
        <v>17</v>
      </c>
      <c r="C14" s="3"/>
      <c r="D14" s="19">
        <f>D6</f>
        <v>1268.74</v>
      </c>
    </row>
    <row r="15">
      <c r="A15" s="8" t="s">
        <v>18</v>
      </c>
      <c r="B15" s="9" t="s">
        <v>19</v>
      </c>
      <c r="C15" s="3"/>
      <c r="D15" s="19">
        <f>0.3*D14</f>
        <v>380.622</v>
      </c>
    </row>
    <row r="16">
      <c r="A16" s="8" t="s">
        <v>20</v>
      </c>
      <c r="B16" s="9" t="s">
        <v>21</v>
      </c>
      <c r="C16" s="3"/>
      <c r="D16" s="19" t="s">
        <v>22</v>
      </c>
    </row>
    <row r="17">
      <c r="A17" s="8" t="s">
        <v>23</v>
      </c>
      <c r="B17" s="9" t="s">
        <v>24</v>
      </c>
      <c r="C17" s="3"/>
      <c r="D17" s="19">
        <f>((D14+D15)/180)*0.35*7*15</f>
        <v>336.7447417</v>
      </c>
    </row>
    <row r="18">
      <c r="A18" s="8" t="s">
        <v>25</v>
      </c>
      <c r="B18" s="9" t="s">
        <v>26</v>
      </c>
      <c r="C18" s="3"/>
      <c r="D18" s="50">
        <f>((D14+D15)/180)*15</f>
        <v>137.4468333</v>
      </c>
    </row>
    <row r="19">
      <c r="A19" s="8" t="s">
        <v>27</v>
      </c>
      <c r="B19" s="9" t="s">
        <v>28</v>
      </c>
      <c r="C19" s="3"/>
      <c r="D19" s="19" t="s">
        <v>22</v>
      </c>
    </row>
    <row r="20">
      <c r="A20" s="11" t="s">
        <v>29</v>
      </c>
      <c r="B20" s="13" t="s">
        <v>30</v>
      </c>
      <c r="C20" s="3"/>
      <c r="D20" s="76" t="s">
        <v>22</v>
      </c>
    </row>
    <row r="21">
      <c r="A21" s="11" t="s">
        <v>31</v>
      </c>
      <c r="B21" s="13" t="s">
        <v>32</v>
      </c>
      <c r="C21" s="3"/>
      <c r="D21" s="76">
        <v>47.05</v>
      </c>
    </row>
    <row r="22">
      <c r="A22" s="11" t="s">
        <v>33</v>
      </c>
      <c r="B22" s="13" t="s">
        <v>34</v>
      </c>
      <c r="C22" s="3"/>
      <c r="D22" s="21">
        <f>D14*14.03%</f>
        <v>178.004222</v>
      </c>
    </row>
    <row r="23">
      <c r="A23" s="11" t="s">
        <v>35</v>
      </c>
      <c r="B23" s="13" t="s">
        <v>36</v>
      </c>
      <c r="C23" s="3"/>
      <c r="D23" s="22">
        <f>D14*0.51/12</f>
        <v>53.92145</v>
      </c>
    </row>
    <row r="24">
      <c r="A24" s="11" t="s">
        <v>37</v>
      </c>
      <c r="B24" s="13" t="s">
        <v>38</v>
      </c>
      <c r="C24" s="3"/>
      <c r="D24" s="22" t="s">
        <v>22</v>
      </c>
    </row>
    <row r="25">
      <c r="A25" s="7" t="s">
        <v>39</v>
      </c>
      <c r="B25" s="2"/>
      <c r="C25" s="3"/>
      <c r="D25" s="23">
        <f>SUM(D14:D24)</f>
        <v>2402.529247</v>
      </c>
    </row>
    <row r="26" ht="15.75" customHeight="1">
      <c r="A26" s="77" t="s">
        <v>40</v>
      </c>
      <c r="B26" s="2"/>
      <c r="C26" s="2"/>
      <c r="D26" s="3"/>
    </row>
    <row r="27" ht="15.75" customHeight="1">
      <c r="A27" s="16" t="s">
        <v>41</v>
      </c>
      <c r="B27" s="2"/>
      <c r="C27" s="2"/>
      <c r="D27" s="3"/>
    </row>
    <row r="28" ht="15.75" customHeight="1">
      <c r="A28" s="30"/>
      <c r="B28" s="25"/>
      <c r="C28" s="25"/>
      <c r="D28" s="25"/>
    </row>
    <row r="29" ht="15.75" customHeight="1">
      <c r="A29" s="31" t="s">
        <v>42</v>
      </c>
      <c r="B29" s="28"/>
      <c r="C29" s="28"/>
      <c r="D29" s="28"/>
      <c r="F29" s="20" t="s">
        <v>43</v>
      </c>
    </row>
    <row r="30" ht="15.75" customHeight="1">
      <c r="A30" s="18" t="s">
        <v>44</v>
      </c>
      <c r="B30" s="7" t="s">
        <v>45</v>
      </c>
      <c r="C30" s="3"/>
      <c r="D30" s="18" t="s">
        <v>15</v>
      </c>
      <c r="F30" s="32">
        <f>SUM(D14:D20)</f>
        <v>2123.553575</v>
      </c>
    </row>
    <row r="31" ht="15.75" customHeight="1">
      <c r="A31" s="8" t="s">
        <v>16</v>
      </c>
      <c r="B31" s="9" t="s">
        <v>46</v>
      </c>
      <c r="C31" s="3"/>
      <c r="D31" s="33">
        <f>F30*0.0833</f>
        <v>176.8920128</v>
      </c>
    </row>
    <row r="32" ht="15.75" customHeight="1">
      <c r="A32" s="8" t="s">
        <v>18</v>
      </c>
      <c r="B32" s="13" t="s">
        <v>47</v>
      </c>
      <c r="C32" s="3"/>
      <c r="D32" s="33">
        <f>F30*0.0833</f>
        <v>176.8920128</v>
      </c>
    </row>
    <row r="33" ht="15.75" customHeight="1">
      <c r="A33" s="7" t="s">
        <v>39</v>
      </c>
      <c r="B33" s="2"/>
      <c r="C33" s="3"/>
      <c r="D33" s="33">
        <f>SUM(D31:D32)</f>
        <v>353.7840256</v>
      </c>
    </row>
    <row r="34" ht="15.75" customHeight="1">
      <c r="A34" s="34"/>
    </row>
    <row r="35" ht="23.25" customHeight="1">
      <c r="A35" s="35" t="s">
        <v>48</v>
      </c>
    </row>
    <row r="36" ht="15.75" customHeight="1">
      <c r="A36" s="18" t="s">
        <v>49</v>
      </c>
      <c r="B36" s="18" t="s">
        <v>50</v>
      </c>
      <c r="C36" s="36" t="s">
        <v>51</v>
      </c>
      <c r="D36" s="18" t="s">
        <v>15</v>
      </c>
      <c r="E36" s="37"/>
      <c r="F36" s="36" t="s">
        <v>52</v>
      </c>
    </row>
    <row r="37" ht="15.75" customHeight="1">
      <c r="A37" s="8" t="s">
        <v>16</v>
      </c>
      <c r="B37" s="38" t="s">
        <v>53</v>
      </c>
      <c r="C37" s="39">
        <v>0.2</v>
      </c>
      <c r="D37" s="19">
        <f>F37*C37</f>
        <v>495.4675201</v>
      </c>
      <c r="E37" s="40"/>
      <c r="F37" s="19">
        <f>SUM(D14:D20,D33)</f>
        <v>2477.337601</v>
      </c>
    </row>
    <row r="38" ht="15.75" customHeight="1">
      <c r="A38" s="8" t="s">
        <v>18</v>
      </c>
      <c r="B38" s="38" t="s">
        <v>54</v>
      </c>
      <c r="C38" s="39">
        <v>0.025</v>
      </c>
      <c r="D38" s="19">
        <f>F37*C38</f>
        <v>61.93344001</v>
      </c>
      <c r="E38" s="40"/>
      <c r="F38" s="41"/>
    </row>
    <row r="39" ht="15.75" customHeight="1">
      <c r="A39" s="8" t="s">
        <v>20</v>
      </c>
      <c r="B39" s="38" t="s">
        <v>55</v>
      </c>
      <c r="C39" s="39">
        <v>0.03</v>
      </c>
      <c r="D39" s="19">
        <f>F37*C39</f>
        <v>74.32012802</v>
      </c>
      <c r="E39" s="40"/>
      <c r="F39" s="41"/>
    </row>
    <row r="40" ht="15.75" customHeight="1">
      <c r="A40" s="8" t="s">
        <v>23</v>
      </c>
      <c r="B40" s="38" t="s">
        <v>56</v>
      </c>
      <c r="C40" s="39">
        <v>0.015</v>
      </c>
      <c r="D40" s="19">
        <f>F37*C40</f>
        <v>37.16006401</v>
      </c>
      <c r="E40" s="40"/>
      <c r="F40" s="41"/>
    </row>
    <row r="41" ht="15.75" customHeight="1">
      <c r="A41" s="8" t="s">
        <v>25</v>
      </c>
      <c r="B41" s="38" t="s">
        <v>57</v>
      </c>
      <c r="C41" s="39">
        <v>0.01</v>
      </c>
      <c r="D41" s="19">
        <f>F37*C41</f>
        <v>24.77337601</v>
      </c>
      <c r="E41" s="40"/>
      <c r="F41" s="41"/>
    </row>
    <row r="42" ht="15.75" customHeight="1">
      <c r="A42" s="8" t="s">
        <v>27</v>
      </c>
      <c r="B42" s="38" t="s">
        <v>58</v>
      </c>
      <c r="C42" s="39">
        <v>0.006</v>
      </c>
      <c r="D42" s="19">
        <f>F37*C42</f>
        <v>14.8640256</v>
      </c>
      <c r="E42" s="40"/>
      <c r="F42" s="41"/>
    </row>
    <row r="43" ht="15.75" customHeight="1">
      <c r="A43" s="8" t="s">
        <v>29</v>
      </c>
      <c r="B43" s="38" t="s">
        <v>59</v>
      </c>
      <c r="C43" s="39">
        <v>0.002</v>
      </c>
      <c r="D43" s="19">
        <f>F37*C43</f>
        <v>4.954675201</v>
      </c>
      <c r="E43" s="40"/>
      <c r="F43" s="41"/>
    </row>
    <row r="44" ht="15.75" customHeight="1">
      <c r="A44" s="8" t="s">
        <v>31</v>
      </c>
      <c r="B44" s="38" t="s">
        <v>60</v>
      </c>
      <c r="C44" s="39">
        <v>0.08</v>
      </c>
      <c r="D44" s="19">
        <f>F37*C44</f>
        <v>198.187008</v>
      </c>
      <c r="E44" s="40"/>
      <c r="F44" s="41"/>
    </row>
    <row r="45" ht="15.75" customHeight="1">
      <c r="A45" s="7" t="s">
        <v>39</v>
      </c>
      <c r="B45" s="3"/>
      <c r="C45" s="43">
        <f t="shared" ref="C45:D45" si="1">SUM(C37:C44)</f>
        <v>0.368</v>
      </c>
      <c r="D45" s="19">
        <f t="shared" si="1"/>
        <v>911.660237</v>
      </c>
      <c r="E45" s="40"/>
      <c r="F45" s="41"/>
    </row>
    <row r="46" ht="15.75" customHeight="1">
      <c r="A46" s="34"/>
    </row>
    <row r="47" ht="15.75" customHeight="1">
      <c r="A47" s="44" t="s">
        <v>61</v>
      </c>
      <c r="B47" s="28"/>
      <c r="C47" s="28"/>
      <c r="D47" s="28"/>
    </row>
    <row r="48" ht="15.75" customHeight="1">
      <c r="A48" s="18" t="s">
        <v>62</v>
      </c>
      <c r="B48" s="7" t="s">
        <v>63</v>
      </c>
      <c r="C48" s="3"/>
      <c r="D48" s="18" t="s">
        <v>15</v>
      </c>
      <c r="F48" s="45" t="s">
        <v>64</v>
      </c>
      <c r="G48" s="46"/>
      <c r="H48" s="47"/>
    </row>
    <row r="49" ht="15.75" customHeight="1">
      <c r="A49" s="8" t="s">
        <v>16</v>
      </c>
      <c r="B49" s="9" t="s">
        <v>65</v>
      </c>
      <c r="C49" s="3"/>
      <c r="D49" s="33">
        <f>(15*2*G49)-(0.06*0.5*D14)</f>
        <v>90.9378</v>
      </c>
      <c r="F49" s="48" t="s">
        <v>66</v>
      </c>
      <c r="G49" s="49">
        <v>4.3</v>
      </c>
      <c r="H49" s="47"/>
    </row>
    <row r="50" ht="15.75" customHeight="1">
      <c r="A50" s="8" t="s">
        <v>18</v>
      </c>
      <c r="B50" s="13" t="s">
        <v>67</v>
      </c>
      <c r="C50" s="3"/>
      <c r="D50" s="33">
        <f>(15*G51)-(0.15*15*G51)</f>
        <v>191.25</v>
      </c>
      <c r="F50" s="45" t="s">
        <v>68</v>
      </c>
      <c r="G50" s="46"/>
      <c r="H50" s="47"/>
    </row>
    <row r="51" ht="15.75" customHeight="1">
      <c r="A51" s="8" t="s">
        <v>20</v>
      </c>
      <c r="B51" s="9" t="s">
        <v>69</v>
      </c>
      <c r="C51" s="3"/>
      <c r="D51" s="50">
        <v>80.0</v>
      </c>
      <c r="F51" s="48" t="s">
        <v>70</v>
      </c>
      <c r="G51" s="51">
        <v>15.0</v>
      </c>
      <c r="H51" s="47"/>
    </row>
    <row r="52" ht="15.75" customHeight="1">
      <c r="A52" s="8" t="s">
        <v>23</v>
      </c>
      <c r="B52" s="9" t="s">
        <v>71</v>
      </c>
      <c r="C52" s="3"/>
      <c r="D52" s="50">
        <f>182.79*0.66</f>
        <v>120.6414</v>
      </c>
      <c r="F52" s="78"/>
      <c r="G52" s="46"/>
      <c r="H52" s="47"/>
    </row>
    <row r="53" ht="15.75" customHeight="1">
      <c r="A53" s="8" t="s">
        <v>25</v>
      </c>
      <c r="B53" s="13" t="s">
        <v>72</v>
      </c>
      <c r="C53" s="3"/>
      <c r="D53" s="33">
        <f>D14*1.5/12</f>
        <v>158.5925</v>
      </c>
      <c r="F53" s="79"/>
      <c r="G53" s="51"/>
      <c r="H53" s="47"/>
    </row>
    <row r="54" ht="15.75" customHeight="1">
      <c r="A54" s="7" t="s">
        <v>39</v>
      </c>
      <c r="B54" s="2"/>
      <c r="C54" s="3"/>
      <c r="D54" s="33">
        <f>SUM(D49:D53)</f>
        <v>641.4217</v>
      </c>
      <c r="H54" s="47"/>
    </row>
    <row r="55" ht="15.75" customHeight="1">
      <c r="A55" s="34"/>
      <c r="F55" s="52"/>
      <c r="G55" s="52"/>
    </row>
    <row r="56" ht="15.75" customHeight="1">
      <c r="A56" s="35" t="s">
        <v>73</v>
      </c>
      <c r="F56" s="52"/>
      <c r="G56" s="52"/>
    </row>
    <row r="57" ht="15.75" customHeight="1">
      <c r="A57" s="18">
        <v>2.0</v>
      </c>
      <c r="B57" s="7" t="s">
        <v>74</v>
      </c>
      <c r="C57" s="3"/>
      <c r="D57" s="18" t="s">
        <v>15</v>
      </c>
      <c r="F57" s="52"/>
      <c r="G57" s="52"/>
    </row>
    <row r="58" ht="15.75" customHeight="1">
      <c r="A58" s="8" t="s">
        <v>44</v>
      </c>
      <c r="B58" s="9" t="s">
        <v>45</v>
      </c>
      <c r="C58" s="3"/>
      <c r="D58" s="19">
        <f>D33</f>
        <v>353.7840256</v>
      </c>
      <c r="F58" s="52"/>
      <c r="G58" s="52"/>
    </row>
    <row r="59" ht="15.75" customHeight="1">
      <c r="A59" s="8" t="s">
        <v>49</v>
      </c>
      <c r="B59" s="9" t="s">
        <v>50</v>
      </c>
      <c r="C59" s="3"/>
      <c r="D59" s="19">
        <f>D45</f>
        <v>911.660237</v>
      </c>
      <c r="F59" s="52"/>
      <c r="G59" s="52"/>
    </row>
    <row r="60" ht="15.75" customHeight="1">
      <c r="A60" s="8" t="s">
        <v>62</v>
      </c>
      <c r="B60" s="9" t="s">
        <v>63</v>
      </c>
      <c r="C60" s="3"/>
      <c r="D60" s="19">
        <f>D54</f>
        <v>641.4217</v>
      </c>
      <c r="F60" s="52"/>
      <c r="G60" s="52"/>
    </row>
    <row r="61" ht="15.75" customHeight="1">
      <c r="A61" s="7" t="s">
        <v>39</v>
      </c>
      <c r="B61" s="2"/>
      <c r="C61" s="3"/>
      <c r="D61" s="23">
        <f>SUM(D58:D60)</f>
        <v>1906.865963</v>
      </c>
    </row>
    <row r="62" ht="15.75" customHeight="1">
      <c r="A62" s="15"/>
      <c r="B62" s="2"/>
      <c r="C62" s="2"/>
      <c r="D62" s="2"/>
    </row>
    <row r="63" ht="15.75" customHeight="1">
      <c r="A63" s="53" t="s">
        <v>75</v>
      </c>
      <c r="B63" s="2"/>
      <c r="C63" s="2"/>
      <c r="D63" s="3"/>
    </row>
    <row r="64" ht="15.75" customHeight="1">
      <c r="A64" s="54"/>
      <c r="B64" s="25"/>
      <c r="C64" s="25"/>
      <c r="D64" s="25"/>
    </row>
    <row r="65" ht="15.75" customHeight="1">
      <c r="A65" s="44" t="s">
        <v>76</v>
      </c>
      <c r="B65" s="28"/>
      <c r="C65" s="28"/>
      <c r="D65" s="28"/>
    </row>
    <row r="66" ht="15.75" customHeight="1">
      <c r="A66" s="55" t="s">
        <v>77</v>
      </c>
      <c r="B66" s="56" t="s">
        <v>78</v>
      </c>
      <c r="C66" s="29"/>
      <c r="D66" s="55" t="s">
        <v>15</v>
      </c>
    </row>
    <row r="67" ht="15.75" customHeight="1">
      <c r="A67" s="8" t="s">
        <v>16</v>
      </c>
      <c r="B67" s="9" t="s">
        <v>78</v>
      </c>
      <c r="C67" s="3"/>
      <c r="D67" s="33">
        <f>F30*0.42%</f>
        <v>8.918925015</v>
      </c>
    </row>
    <row r="68" ht="15.75" customHeight="1">
      <c r="A68" s="8" t="s">
        <v>18</v>
      </c>
      <c r="B68" s="57" t="s">
        <v>79</v>
      </c>
      <c r="D68" s="58">
        <f>D67*2.2%</f>
        <v>0.1962163503</v>
      </c>
    </row>
    <row r="69" ht="15.75" customHeight="1">
      <c r="A69" s="11" t="s">
        <v>20</v>
      </c>
      <c r="B69" s="9" t="s">
        <v>80</v>
      </c>
      <c r="C69" s="3"/>
      <c r="D69" s="33">
        <f>F30*2.5%</f>
        <v>53.08883938</v>
      </c>
    </row>
    <row r="70" ht="15.75" customHeight="1">
      <c r="A70" s="7" t="s">
        <v>39</v>
      </c>
      <c r="B70" s="2"/>
      <c r="C70" s="3"/>
      <c r="D70" s="33">
        <f>SUM(D67:D69)</f>
        <v>62.20398074</v>
      </c>
    </row>
    <row r="71" ht="15.75" customHeight="1">
      <c r="A71" s="30"/>
      <c r="B71" s="25"/>
      <c r="C71" s="25"/>
      <c r="D71" s="25"/>
    </row>
    <row r="72" ht="15.75" customHeight="1">
      <c r="A72" s="44" t="s">
        <v>81</v>
      </c>
      <c r="B72" s="28"/>
      <c r="C72" s="28"/>
      <c r="D72" s="28"/>
    </row>
    <row r="73" ht="15.75" customHeight="1">
      <c r="A73" s="55" t="s">
        <v>82</v>
      </c>
      <c r="B73" s="56" t="s">
        <v>83</v>
      </c>
      <c r="C73" s="29"/>
      <c r="D73" s="55" t="s">
        <v>15</v>
      </c>
    </row>
    <row r="74" ht="15.75" customHeight="1">
      <c r="A74" s="8" t="s">
        <v>16</v>
      </c>
      <c r="B74" s="9" t="s">
        <v>83</v>
      </c>
      <c r="C74" s="3"/>
      <c r="D74" s="33">
        <f>F30*1.94%</f>
        <v>41.19693936</v>
      </c>
    </row>
    <row r="75" ht="15.75" customHeight="1">
      <c r="A75" s="8" t="s">
        <v>18</v>
      </c>
      <c r="B75" s="59" t="s">
        <v>84</v>
      </c>
      <c r="C75" s="3"/>
      <c r="D75" s="58">
        <f>D74*2.2%</f>
        <v>0.9063326658</v>
      </c>
    </row>
    <row r="76" ht="15.75" customHeight="1">
      <c r="A76" s="11" t="s">
        <v>20</v>
      </c>
      <c r="B76" s="9" t="s">
        <v>85</v>
      </c>
      <c r="C76" s="3"/>
      <c r="D76" s="33">
        <f>F30*2.5%</f>
        <v>53.08883938</v>
      </c>
    </row>
    <row r="77" ht="15.75" customHeight="1">
      <c r="A77" s="7" t="s">
        <v>39</v>
      </c>
      <c r="B77" s="2"/>
      <c r="C77" s="3"/>
      <c r="D77" s="33">
        <f>SUM(D74:D76)</f>
        <v>95.1921114</v>
      </c>
    </row>
    <row r="78" ht="15.75" customHeight="1">
      <c r="A78" s="35"/>
    </row>
    <row r="79" ht="15.75" customHeight="1">
      <c r="A79" s="60" t="s">
        <v>86</v>
      </c>
    </row>
    <row r="80" ht="15.75" customHeight="1">
      <c r="A80" s="35"/>
      <c r="B80" s="35"/>
      <c r="C80" s="35"/>
      <c r="D80" s="35"/>
    </row>
    <row r="81" ht="15.75" customHeight="1">
      <c r="A81" s="44" t="s">
        <v>87</v>
      </c>
      <c r="B81" s="28"/>
      <c r="C81" s="28"/>
      <c r="D81" s="28"/>
    </row>
    <row r="82" ht="15.75" customHeight="1">
      <c r="A82" s="55">
        <v>3.0</v>
      </c>
      <c r="B82" s="56" t="s">
        <v>88</v>
      </c>
      <c r="C82" s="29"/>
      <c r="D82" s="55" t="s">
        <v>15</v>
      </c>
    </row>
    <row r="83" ht="15.75" customHeight="1">
      <c r="A83" s="8" t="s">
        <v>77</v>
      </c>
      <c r="B83" s="9" t="s">
        <v>78</v>
      </c>
      <c r="C83" s="3"/>
      <c r="D83" s="33">
        <f>D70</f>
        <v>62.20398074</v>
      </c>
    </row>
    <row r="84" ht="15.75" customHeight="1">
      <c r="A84" s="8" t="s">
        <v>82</v>
      </c>
      <c r="B84" s="9" t="s">
        <v>83</v>
      </c>
      <c r="C84" s="3"/>
      <c r="D84" s="33">
        <f>D77</f>
        <v>95.1921114</v>
      </c>
    </row>
    <row r="85" ht="15.75" customHeight="1">
      <c r="A85" s="7" t="s">
        <v>39</v>
      </c>
      <c r="B85" s="2"/>
      <c r="C85" s="3"/>
      <c r="D85" s="61">
        <f>SUM(D83:D84)</f>
        <v>157.3960921</v>
      </c>
    </row>
    <row r="86" ht="15.75" customHeight="1">
      <c r="A86" s="31"/>
      <c r="B86" s="28"/>
      <c r="C86" s="28"/>
      <c r="D86" s="28"/>
    </row>
    <row r="87" ht="15.75" customHeight="1">
      <c r="A87" s="62" t="s">
        <v>89</v>
      </c>
      <c r="B87" s="63"/>
      <c r="C87" s="63"/>
      <c r="D87" s="64"/>
    </row>
    <row r="88" ht="15.75" customHeight="1">
      <c r="A88" s="34"/>
    </row>
    <row r="89" ht="15.75" customHeight="1">
      <c r="A89" s="44" t="s">
        <v>90</v>
      </c>
      <c r="B89" s="28"/>
      <c r="C89" s="28"/>
      <c r="D89" s="28"/>
    </row>
    <row r="90" ht="15.75" customHeight="1">
      <c r="A90" s="55" t="s">
        <v>91</v>
      </c>
      <c r="B90" s="56" t="s">
        <v>92</v>
      </c>
      <c r="C90" s="29"/>
      <c r="D90" s="55" t="s">
        <v>15</v>
      </c>
    </row>
    <row r="91" ht="15.75" customHeight="1">
      <c r="A91" s="8" t="s">
        <v>16</v>
      </c>
      <c r="B91" s="9" t="s">
        <v>47</v>
      </c>
      <c r="C91" s="3"/>
      <c r="D91" s="65">
        <f>F30*9.075%</f>
        <v>192.7124869</v>
      </c>
    </row>
    <row r="92" ht="15.75" customHeight="1">
      <c r="A92" s="8" t="s">
        <v>18</v>
      </c>
      <c r="B92" s="9" t="s">
        <v>93</v>
      </c>
      <c r="C92" s="3"/>
      <c r="D92" s="19">
        <f>(1*1)*(365/365)*((D25+D61+D85)/30)/12</f>
        <v>12.40775362</v>
      </c>
    </row>
    <row r="93" ht="15.75" customHeight="1">
      <c r="A93" s="8" t="s">
        <v>20</v>
      </c>
      <c r="B93" s="9" t="s">
        <v>94</v>
      </c>
      <c r="C93" s="3"/>
      <c r="D93" s="19">
        <f>(0.5*5)*(0.5)*((D25+D61+D85)/30)/12</f>
        <v>15.50969202</v>
      </c>
    </row>
    <row r="94" ht="15.75" customHeight="1">
      <c r="A94" s="8" t="s">
        <v>23</v>
      </c>
      <c r="B94" s="66" t="s">
        <v>95</v>
      </c>
      <c r="C94" s="3"/>
      <c r="D94" s="19">
        <f>(0.0922*15)*(0.5)*((D25+D61+D85)/30)/12</f>
        <v>8.579961625</v>
      </c>
    </row>
    <row r="95" ht="15.75" customHeight="1">
      <c r="A95" s="8" t="s">
        <v>25</v>
      </c>
      <c r="B95" s="66" t="s">
        <v>96</v>
      </c>
      <c r="C95" s="3"/>
      <c r="D95" s="19">
        <f>(1*5)*(0.5)*((D25+D61+D85)/30)/12</f>
        <v>31.01938404</v>
      </c>
    </row>
    <row r="96" ht="15.75" customHeight="1">
      <c r="A96" s="8" t="s">
        <v>27</v>
      </c>
      <c r="B96" s="66" t="s">
        <v>97</v>
      </c>
      <c r="C96" s="3"/>
      <c r="D96" s="19">
        <f>(0.1344*2)*(365/365)*((D25+D61+D85)/30)/12</f>
        <v>3.335204172</v>
      </c>
    </row>
    <row r="97" ht="15.75" customHeight="1">
      <c r="A97" s="8" t="s">
        <v>29</v>
      </c>
      <c r="B97" s="66" t="s">
        <v>98</v>
      </c>
      <c r="C97" s="3"/>
      <c r="D97" s="19">
        <f>(0.0305*2)*(0.5)*((D25+D61+D85)/30)/12</f>
        <v>0.3784364853</v>
      </c>
    </row>
    <row r="98" ht="15.75" customHeight="1">
      <c r="A98" s="8" t="s">
        <v>31</v>
      </c>
      <c r="B98" s="66" t="s">
        <v>99</v>
      </c>
      <c r="C98" s="3"/>
      <c r="D98" s="19">
        <f>(0.0118*3)*(0.5)*((D25+D61+D85)/30)/12</f>
        <v>0.219617239</v>
      </c>
    </row>
    <row r="99" ht="15.75" customHeight="1">
      <c r="A99" s="8" t="s">
        <v>33</v>
      </c>
      <c r="B99" s="66" t="s">
        <v>100</v>
      </c>
      <c r="C99" s="3"/>
      <c r="D99" s="19">
        <f>(0.02*1)*(365/365)*((D25+D61+D85)/30)/12</f>
        <v>0.2481550723</v>
      </c>
    </row>
    <row r="100" ht="15.75" customHeight="1">
      <c r="A100" s="8" t="s">
        <v>35</v>
      </c>
      <c r="B100" s="66" t="s">
        <v>101</v>
      </c>
      <c r="C100" s="3"/>
      <c r="D100" s="19">
        <f>(0.004*1)*(365/365)*((D25+D61+D85)/30)/12</f>
        <v>0.04963101446</v>
      </c>
    </row>
    <row r="101" ht="15.75" customHeight="1">
      <c r="A101" s="8" t="s">
        <v>37</v>
      </c>
      <c r="B101" s="66" t="s">
        <v>102</v>
      </c>
      <c r="C101" s="3"/>
      <c r="D101" s="19">
        <f>(0.0325*20)*(0.5)*((D25+D61+D85)/30)/12</f>
        <v>4.032519925</v>
      </c>
    </row>
    <row r="102" ht="15.75" customHeight="1">
      <c r="A102" s="8" t="s">
        <v>103</v>
      </c>
      <c r="B102" s="66" t="s">
        <v>104</v>
      </c>
      <c r="C102" s="3"/>
      <c r="D102" s="19">
        <f>(0.0028*180)*(0.5)*((D25+D61+D85)/30)/12</f>
        <v>3.126753911</v>
      </c>
    </row>
    <row r="103" ht="15.75" customHeight="1">
      <c r="A103" s="8" t="s">
        <v>105</v>
      </c>
      <c r="B103" s="66" t="s">
        <v>106</v>
      </c>
      <c r="C103" s="3"/>
      <c r="D103" s="19">
        <f>(0.0002*6)*(365/365)*((D25+D61+D85)/30)/12</f>
        <v>0.01488930434</v>
      </c>
    </row>
    <row r="104" ht="15.75" customHeight="1">
      <c r="A104" s="7" t="s">
        <v>39</v>
      </c>
      <c r="B104" s="2"/>
      <c r="C104" s="3"/>
      <c r="D104" s="19">
        <f>SUM(D91:D103)</f>
        <v>271.6344854</v>
      </c>
    </row>
    <row r="105" ht="15.75" customHeight="1">
      <c r="A105" s="30"/>
      <c r="B105" s="25"/>
      <c r="C105" s="25"/>
      <c r="D105" s="25"/>
    </row>
    <row r="106" ht="15.75" customHeight="1">
      <c r="A106" s="44" t="s">
        <v>107</v>
      </c>
      <c r="B106" s="28"/>
      <c r="C106" s="28"/>
      <c r="D106" s="28"/>
    </row>
    <row r="107" ht="21.75" customHeight="1">
      <c r="A107" s="55" t="s">
        <v>108</v>
      </c>
      <c r="B107" s="56" t="s">
        <v>109</v>
      </c>
      <c r="C107" s="29"/>
      <c r="D107" s="55" t="s">
        <v>15</v>
      </c>
    </row>
    <row r="108" ht="15.75" customHeight="1">
      <c r="A108" s="8" t="s">
        <v>16</v>
      </c>
      <c r="B108" s="9" t="s">
        <v>110</v>
      </c>
      <c r="C108" s="3"/>
      <c r="D108" s="19">
        <f>((((D25/180)*1.2)*1.5)*15)</f>
        <v>360.3793871</v>
      </c>
    </row>
    <row r="109" ht="15.75" customHeight="1">
      <c r="A109" s="7" t="s">
        <v>39</v>
      </c>
      <c r="B109" s="2"/>
      <c r="C109" s="3"/>
      <c r="D109" s="19">
        <f>SUM(D108)</f>
        <v>360.3793871</v>
      </c>
    </row>
    <row r="110" ht="15.75" customHeight="1">
      <c r="A110" s="30"/>
      <c r="B110" s="25"/>
      <c r="C110" s="25"/>
      <c r="D110" s="25"/>
    </row>
    <row r="111" ht="15.75" customHeight="1">
      <c r="A111" s="44" t="s">
        <v>111</v>
      </c>
      <c r="B111" s="28"/>
      <c r="C111" s="28"/>
      <c r="D111" s="28"/>
    </row>
    <row r="112" ht="15.75" customHeight="1">
      <c r="A112" s="55">
        <v>4.0</v>
      </c>
      <c r="B112" s="56" t="s">
        <v>112</v>
      </c>
      <c r="C112" s="29"/>
      <c r="D112" s="55" t="s">
        <v>15</v>
      </c>
    </row>
    <row r="113" ht="15.75" customHeight="1">
      <c r="A113" s="8" t="s">
        <v>91</v>
      </c>
      <c r="B113" s="9" t="s">
        <v>92</v>
      </c>
      <c r="C113" s="3"/>
      <c r="D113" s="33">
        <f>D104</f>
        <v>271.6344854</v>
      </c>
    </row>
    <row r="114" ht="15.75" customHeight="1">
      <c r="A114" s="8" t="s">
        <v>108</v>
      </c>
      <c r="B114" s="9" t="s">
        <v>109</v>
      </c>
      <c r="C114" s="3"/>
      <c r="D114" s="33">
        <f>D109</f>
        <v>360.3793871</v>
      </c>
    </row>
    <row r="115" ht="15.75" customHeight="1">
      <c r="A115" s="7" t="s">
        <v>39</v>
      </c>
      <c r="B115" s="2"/>
      <c r="C115" s="3"/>
      <c r="D115" s="61">
        <f>SUM(D113:D114)</f>
        <v>632.0138724</v>
      </c>
    </row>
    <row r="116" ht="15.75" customHeight="1">
      <c r="A116" s="15"/>
      <c r="B116" s="2"/>
      <c r="C116" s="2"/>
      <c r="D116" s="2"/>
    </row>
    <row r="117" ht="15.75" customHeight="1">
      <c r="A117" s="53" t="s">
        <v>113</v>
      </c>
      <c r="B117" s="2"/>
      <c r="C117" s="2"/>
      <c r="D117" s="3"/>
    </row>
    <row r="118" ht="15.75" customHeight="1">
      <c r="A118" s="17"/>
      <c r="B118" s="2"/>
      <c r="C118" s="2"/>
      <c r="D118" s="2"/>
    </row>
    <row r="119" ht="15.75" customHeight="1">
      <c r="A119" s="18">
        <v>5.0</v>
      </c>
      <c r="B119" s="7" t="s">
        <v>114</v>
      </c>
      <c r="C119" s="3"/>
      <c r="D119" s="18" t="s">
        <v>15</v>
      </c>
      <c r="F119" s="67" t="s">
        <v>115</v>
      </c>
    </row>
    <row r="120" ht="15.75" customHeight="1">
      <c r="A120" s="8" t="s">
        <v>16</v>
      </c>
      <c r="B120" s="9" t="s">
        <v>116</v>
      </c>
      <c r="C120" s="3"/>
      <c r="D120" s="33">
        <f>Uniformes!E13</f>
        <v>59.89416667</v>
      </c>
      <c r="F120" s="33">
        <f>(((D144+D128+D129)/(1-8.65%)))</f>
        <v>6479.024603</v>
      </c>
    </row>
    <row r="121" ht="15.75" customHeight="1">
      <c r="A121" s="8" t="s">
        <v>18</v>
      </c>
      <c r="B121" s="9" t="s">
        <v>117</v>
      </c>
      <c r="C121" s="3"/>
      <c r="D121" s="33">
        <f>'Utensílios e materiais'!F9</f>
        <v>2.71671875</v>
      </c>
      <c r="F121" s="67" t="s">
        <v>118</v>
      </c>
    </row>
    <row r="122" ht="15.75" customHeight="1">
      <c r="A122" s="8" t="s">
        <v>20</v>
      </c>
      <c r="B122" s="9" t="s">
        <v>119</v>
      </c>
      <c r="C122" s="3"/>
      <c r="D122" s="33">
        <f>Equipamentos!F11</f>
        <v>8.560333333</v>
      </c>
      <c r="F122" s="68">
        <f>((D144+F128+F129)/(1-14.25%))</f>
        <v>6902.144577</v>
      </c>
    </row>
    <row r="123" ht="15.75" customHeight="1">
      <c r="A123" s="7" t="s">
        <v>39</v>
      </c>
      <c r="B123" s="2"/>
      <c r="C123" s="3"/>
      <c r="D123" s="61">
        <f>SUM(D120:D122)</f>
        <v>71.17121875</v>
      </c>
    </row>
    <row r="124" ht="15.75" customHeight="1">
      <c r="A124" s="69"/>
      <c r="B124" s="28"/>
      <c r="C124" s="28"/>
      <c r="D124" s="28"/>
    </row>
    <row r="125" ht="15.75" customHeight="1">
      <c r="A125" s="53" t="s">
        <v>120</v>
      </c>
      <c r="B125" s="2"/>
      <c r="C125" s="2"/>
      <c r="D125" s="3"/>
    </row>
    <row r="126" ht="15.75" customHeight="1">
      <c r="A126" s="17"/>
      <c r="B126" s="17"/>
      <c r="C126" s="70" t="s">
        <v>121</v>
      </c>
      <c r="D126" s="2"/>
      <c r="E126" s="71" t="s">
        <v>122</v>
      </c>
      <c r="F126" s="3"/>
    </row>
    <row r="127" ht="15.75" customHeight="1">
      <c r="A127" s="18">
        <v>6.0</v>
      </c>
      <c r="B127" s="18" t="s">
        <v>114</v>
      </c>
      <c r="C127" s="18" t="s">
        <v>123</v>
      </c>
      <c r="D127" s="18" t="s">
        <v>15</v>
      </c>
      <c r="E127" s="18" t="s">
        <v>123</v>
      </c>
      <c r="F127" s="18" t="s">
        <v>15</v>
      </c>
    </row>
    <row r="128" ht="15.75" customHeight="1">
      <c r="A128" s="8" t="s">
        <v>16</v>
      </c>
      <c r="B128" s="38" t="s">
        <v>124</v>
      </c>
      <c r="C128" s="50">
        <v>6.0</v>
      </c>
      <c r="D128" s="33">
        <f>(D144*C128)*0.01</f>
        <v>310.1985836</v>
      </c>
      <c r="E128" s="72">
        <v>6.0</v>
      </c>
      <c r="F128" s="33">
        <f>D144*6%</f>
        <v>310.1985836</v>
      </c>
    </row>
    <row r="129" ht="15.75" customHeight="1">
      <c r="A129" s="8" t="s">
        <v>18</v>
      </c>
      <c r="B129" s="38" t="s">
        <v>125</v>
      </c>
      <c r="C129" s="50">
        <v>8.0</v>
      </c>
      <c r="D129" s="33">
        <f>(D144+D128)*0.01*C129</f>
        <v>438.4139981</v>
      </c>
      <c r="E129" s="72">
        <v>8.0</v>
      </c>
      <c r="F129" s="33">
        <f>(D144+F128)*E129*0.01</f>
        <v>438.4139981</v>
      </c>
    </row>
    <row r="130" ht="15.75" customHeight="1">
      <c r="A130" s="8" t="s">
        <v>20</v>
      </c>
      <c r="B130" s="38" t="s">
        <v>126</v>
      </c>
      <c r="C130" s="33">
        <f>SUM(C131:C133)</f>
        <v>8.65</v>
      </c>
      <c r="D130" s="73"/>
      <c r="E130" s="72">
        <f>SUM(E131:E133)</f>
        <v>14.25</v>
      </c>
      <c r="F130" s="33"/>
    </row>
    <row r="131" ht="15.75" customHeight="1">
      <c r="A131" s="8"/>
      <c r="B131" s="80" t="s">
        <v>137</v>
      </c>
      <c r="C131" s="33">
        <v>3.65</v>
      </c>
      <c r="D131" s="33">
        <f>F120*3.65%</f>
        <v>236.484398</v>
      </c>
      <c r="E131" s="72">
        <f>1.65+7.6</f>
        <v>9.25</v>
      </c>
      <c r="F131" s="58">
        <f>F122*9.25%</f>
        <v>638.4483734</v>
      </c>
    </row>
    <row r="132" ht="15.75" customHeight="1">
      <c r="A132" s="8"/>
      <c r="B132" s="80" t="s">
        <v>138</v>
      </c>
      <c r="C132" s="33"/>
      <c r="D132" s="33"/>
      <c r="E132" s="74"/>
      <c r="F132" s="58"/>
    </row>
    <row r="133" ht="15.75" customHeight="1">
      <c r="A133" s="8"/>
      <c r="B133" s="38" t="s">
        <v>129</v>
      </c>
      <c r="C133" s="33">
        <v>5.0</v>
      </c>
      <c r="D133" s="33">
        <f>F120*5%</f>
        <v>323.9512301</v>
      </c>
      <c r="E133" s="72">
        <v>5.0</v>
      </c>
      <c r="F133" s="58">
        <f>F122*5%</f>
        <v>345.1072288</v>
      </c>
    </row>
    <row r="134" ht="15.75" customHeight="1">
      <c r="A134" s="7" t="s">
        <v>39</v>
      </c>
      <c r="B134" s="3"/>
      <c r="C134" s="19">
        <f>SUM(C128:C130)</f>
        <v>22.65</v>
      </c>
      <c r="D134" s="23">
        <f>SUM(D128:D133)</f>
        <v>1309.04821</v>
      </c>
      <c r="E134" s="74">
        <f>SUM(E128:E130)</f>
        <v>28.25</v>
      </c>
      <c r="F134" s="81">
        <f>SUM(F128:F133)</f>
        <v>1732.168184</v>
      </c>
    </row>
    <row r="135" ht="15.75" customHeight="1">
      <c r="A135" s="34"/>
    </row>
    <row r="136" ht="15.0" customHeight="1">
      <c r="A136" s="75" t="s">
        <v>130</v>
      </c>
      <c r="B136" s="2"/>
      <c r="C136" s="2"/>
      <c r="D136" s="3"/>
    </row>
    <row r="137" ht="15.75" customHeight="1">
      <c r="A137" s="17"/>
      <c r="B137" s="2"/>
      <c r="C137" s="2"/>
      <c r="D137" s="2"/>
    </row>
    <row r="138" ht="15.75" customHeight="1">
      <c r="A138" s="7" t="s">
        <v>131</v>
      </c>
      <c r="B138" s="2"/>
      <c r="C138" s="3"/>
      <c r="D138" s="18" t="s">
        <v>15</v>
      </c>
      <c r="F138" s="18" t="s">
        <v>15</v>
      </c>
    </row>
    <row r="139" ht="15.75" customHeight="1">
      <c r="A139" s="18" t="s">
        <v>16</v>
      </c>
      <c r="B139" s="9" t="s">
        <v>13</v>
      </c>
      <c r="C139" s="3"/>
      <c r="D139" s="19">
        <f>D25</f>
        <v>2402.529247</v>
      </c>
      <c r="F139" s="19">
        <f t="shared" ref="F139:F143" si="2">D139</f>
        <v>2402.529247</v>
      </c>
    </row>
    <row r="140" ht="15.75" customHeight="1">
      <c r="A140" s="18" t="s">
        <v>18</v>
      </c>
      <c r="B140" s="9" t="s">
        <v>41</v>
      </c>
      <c r="C140" s="3"/>
      <c r="D140" s="19">
        <f>D61</f>
        <v>1906.865963</v>
      </c>
      <c r="F140" s="19">
        <f t="shared" si="2"/>
        <v>1906.865963</v>
      </c>
    </row>
    <row r="141" ht="15.75" customHeight="1">
      <c r="A141" s="18" t="s">
        <v>20</v>
      </c>
      <c r="B141" s="9" t="s">
        <v>75</v>
      </c>
      <c r="C141" s="3"/>
      <c r="D141" s="19">
        <f>D85</f>
        <v>157.3960921</v>
      </c>
      <c r="F141" s="19">
        <f t="shared" si="2"/>
        <v>157.3960921</v>
      </c>
    </row>
    <row r="142" ht="15.75" customHeight="1">
      <c r="A142" s="18" t="s">
        <v>23</v>
      </c>
      <c r="B142" s="9" t="s">
        <v>89</v>
      </c>
      <c r="C142" s="3"/>
      <c r="D142" s="19">
        <f>D115</f>
        <v>632.0138724</v>
      </c>
      <c r="F142" s="19">
        <f t="shared" si="2"/>
        <v>632.0138724</v>
      </c>
    </row>
    <row r="143" ht="15.75" customHeight="1">
      <c r="A143" s="18" t="s">
        <v>25</v>
      </c>
      <c r="B143" s="9" t="s">
        <v>113</v>
      </c>
      <c r="C143" s="3"/>
      <c r="D143" s="19">
        <f>D123</f>
        <v>71.17121875</v>
      </c>
      <c r="F143" s="19">
        <f t="shared" si="2"/>
        <v>71.17121875</v>
      </c>
    </row>
    <row r="144" ht="15.75" customHeight="1">
      <c r="A144" s="7" t="s">
        <v>132</v>
      </c>
      <c r="B144" s="2"/>
      <c r="C144" s="3"/>
      <c r="D144" s="19">
        <f>SUM(D139:D143)</f>
        <v>5169.976393</v>
      </c>
      <c r="F144" s="19">
        <f>SUM(F139:F143)</f>
        <v>5169.976393</v>
      </c>
    </row>
    <row r="145" ht="15.75" customHeight="1">
      <c r="A145" s="18" t="s">
        <v>27</v>
      </c>
      <c r="B145" s="9" t="s">
        <v>120</v>
      </c>
      <c r="C145" s="3"/>
      <c r="D145" s="19">
        <f>D134</f>
        <v>1309.04821</v>
      </c>
      <c r="F145" s="19">
        <f>F134</f>
        <v>1732.168184</v>
      </c>
    </row>
    <row r="146" ht="15.75" customHeight="1">
      <c r="A146" s="7" t="s">
        <v>133</v>
      </c>
      <c r="B146" s="2"/>
      <c r="C146" s="3"/>
      <c r="D146" s="23">
        <f>ROUND(SUM(D144:D145),2)</f>
        <v>6479.02</v>
      </c>
      <c r="F146" s="23">
        <f>ROUND(SUM(F144:F145),2)</f>
        <v>6902.14</v>
      </c>
    </row>
    <row r="147" ht="15.75" customHeight="1">
      <c r="A147" s="7" t="s">
        <v>134</v>
      </c>
      <c r="B147" s="2"/>
      <c r="C147" s="3"/>
      <c r="D147" s="23">
        <f>2*D146</f>
        <v>12958.04</v>
      </c>
      <c r="F147" s="23">
        <f>2*F146</f>
        <v>13804.28</v>
      </c>
    </row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34">
    <mergeCell ref="A1:D1"/>
    <mergeCell ref="A2:D2"/>
    <mergeCell ref="A3:D3"/>
    <mergeCell ref="B4:C4"/>
    <mergeCell ref="B5:C5"/>
    <mergeCell ref="B6:C6"/>
    <mergeCell ref="B7:C7"/>
    <mergeCell ref="B8:C8"/>
    <mergeCell ref="B9:C9"/>
    <mergeCell ref="A10:D10"/>
    <mergeCell ref="A11:D11"/>
    <mergeCell ref="A12:D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5:C25"/>
    <mergeCell ref="A26:D26"/>
    <mergeCell ref="A27:D27"/>
    <mergeCell ref="A28:D28"/>
    <mergeCell ref="A29:D29"/>
    <mergeCell ref="B30:C30"/>
    <mergeCell ref="B31:C31"/>
    <mergeCell ref="B32:C32"/>
    <mergeCell ref="A33:C33"/>
    <mergeCell ref="A34:D34"/>
    <mergeCell ref="A35:D35"/>
    <mergeCell ref="A45:B45"/>
    <mergeCell ref="A46:D46"/>
    <mergeCell ref="A47:D47"/>
    <mergeCell ref="B48:C48"/>
    <mergeCell ref="F48:G48"/>
    <mergeCell ref="B49:C49"/>
    <mergeCell ref="F50:G50"/>
    <mergeCell ref="B50:C50"/>
    <mergeCell ref="B51:C51"/>
    <mergeCell ref="B52:C52"/>
    <mergeCell ref="F52:G52"/>
    <mergeCell ref="B53:C53"/>
    <mergeCell ref="A54:C54"/>
    <mergeCell ref="A55:D55"/>
    <mergeCell ref="B99:C99"/>
    <mergeCell ref="B100:C100"/>
    <mergeCell ref="B101:C101"/>
    <mergeCell ref="B102:C102"/>
    <mergeCell ref="B103:C103"/>
    <mergeCell ref="A104:C104"/>
    <mergeCell ref="A105:D105"/>
    <mergeCell ref="A106:D106"/>
    <mergeCell ref="B107:C107"/>
    <mergeCell ref="B108:C108"/>
    <mergeCell ref="A109:C109"/>
    <mergeCell ref="A110:D110"/>
    <mergeCell ref="A111:D111"/>
    <mergeCell ref="B112:C112"/>
    <mergeCell ref="E126:F126"/>
    <mergeCell ref="B113:C113"/>
    <mergeCell ref="B114:C114"/>
    <mergeCell ref="A115:C115"/>
    <mergeCell ref="A116:D116"/>
    <mergeCell ref="A117:D117"/>
    <mergeCell ref="A118:D118"/>
    <mergeCell ref="B119:C119"/>
    <mergeCell ref="B120:C120"/>
    <mergeCell ref="B121:C121"/>
    <mergeCell ref="B122:C122"/>
    <mergeCell ref="A123:C123"/>
    <mergeCell ref="A124:D124"/>
    <mergeCell ref="A125:D125"/>
    <mergeCell ref="C126:D126"/>
    <mergeCell ref="A56:D56"/>
    <mergeCell ref="B57:C57"/>
    <mergeCell ref="B58:C58"/>
    <mergeCell ref="B59:C59"/>
    <mergeCell ref="B60:C60"/>
    <mergeCell ref="A61:C61"/>
    <mergeCell ref="A62:D62"/>
    <mergeCell ref="A63:D63"/>
    <mergeCell ref="A64:D64"/>
    <mergeCell ref="A65:D65"/>
    <mergeCell ref="B66:C66"/>
    <mergeCell ref="B67:C67"/>
    <mergeCell ref="B68:C68"/>
    <mergeCell ref="B69:C69"/>
    <mergeCell ref="A70:C70"/>
    <mergeCell ref="A71:D71"/>
    <mergeCell ref="A72:D72"/>
    <mergeCell ref="B73:C73"/>
    <mergeCell ref="B74:C74"/>
    <mergeCell ref="B75:C75"/>
    <mergeCell ref="B76:C76"/>
    <mergeCell ref="A77:C77"/>
    <mergeCell ref="A78:D78"/>
    <mergeCell ref="A79:D79"/>
    <mergeCell ref="A81:D81"/>
    <mergeCell ref="B82:C82"/>
    <mergeCell ref="B83:C83"/>
    <mergeCell ref="B84:C84"/>
    <mergeCell ref="A85:C85"/>
    <mergeCell ref="A86:D86"/>
    <mergeCell ref="A87:D87"/>
    <mergeCell ref="A88:D88"/>
    <mergeCell ref="A89:D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141:C141"/>
    <mergeCell ref="B142:C142"/>
    <mergeCell ref="B143:C143"/>
    <mergeCell ref="A144:C144"/>
    <mergeCell ref="B145:C145"/>
    <mergeCell ref="A146:C146"/>
    <mergeCell ref="A147:C147"/>
    <mergeCell ref="A134:B134"/>
    <mergeCell ref="A135:D135"/>
    <mergeCell ref="A136:D136"/>
    <mergeCell ref="A137:D137"/>
    <mergeCell ref="A138:C138"/>
    <mergeCell ref="B139:C139"/>
    <mergeCell ref="B140:C14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48.57"/>
    <col customWidth="1" min="3" max="3" width="15.57"/>
    <col customWidth="1" min="4" max="4" width="24.43"/>
    <col customWidth="1" min="5" max="5" width="10.43"/>
    <col customWidth="1" min="6" max="6" width="29.86"/>
    <col customWidth="1" min="7" max="7" width="8.86"/>
    <col customWidth="1" min="8" max="8" width="18.0"/>
    <col customWidth="1" min="9" max="26" width="8.86"/>
  </cols>
  <sheetData>
    <row r="1">
      <c r="A1" s="1" t="s">
        <v>0</v>
      </c>
      <c r="B1" s="2"/>
      <c r="C1" s="2"/>
      <c r="D1" s="3"/>
    </row>
    <row r="2">
      <c r="A2" s="4"/>
      <c r="B2" s="5"/>
      <c r="C2" s="5"/>
      <c r="D2" s="6"/>
    </row>
    <row r="3">
      <c r="A3" s="7" t="s">
        <v>1</v>
      </c>
      <c r="B3" s="2"/>
      <c r="C3" s="2"/>
      <c r="D3" s="3"/>
    </row>
    <row r="4">
      <c r="A4" s="8">
        <v>1.0</v>
      </c>
      <c r="B4" s="9" t="s">
        <v>2</v>
      </c>
      <c r="C4" s="3"/>
      <c r="D4" s="8" t="s">
        <v>3</v>
      </c>
    </row>
    <row r="5">
      <c r="A5" s="8">
        <v>2.0</v>
      </c>
      <c r="B5" s="9" t="s">
        <v>4</v>
      </c>
      <c r="C5" s="3"/>
      <c r="D5" s="8" t="s">
        <v>5</v>
      </c>
    </row>
    <row r="6">
      <c r="A6" s="8">
        <v>3.0</v>
      </c>
      <c r="B6" s="9" t="s">
        <v>6</v>
      </c>
      <c r="C6" s="3"/>
      <c r="D6" s="10">
        <v>1268.74</v>
      </c>
    </row>
    <row r="7">
      <c r="A7" s="8">
        <v>4.0</v>
      </c>
      <c r="B7" s="9" t="s">
        <v>7</v>
      </c>
      <c r="C7" s="3"/>
      <c r="D7" s="11" t="s">
        <v>140</v>
      </c>
    </row>
    <row r="8">
      <c r="A8" s="8">
        <v>5.0</v>
      </c>
      <c r="B8" s="9" t="s">
        <v>9</v>
      </c>
      <c r="C8" s="3"/>
      <c r="D8" s="11" t="s">
        <v>10</v>
      </c>
      <c r="E8" s="12"/>
    </row>
    <row r="9">
      <c r="A9" s="8">
        <v>6.0</v>
      </c>
      <c r="B9" s="13" t="s">
        <v>11</v>
      </c>
      <c r="C9" s="3"/>
      <c r="D9" s="14" t="s">
        <v>12</v>
      </c>
    </row>
    <row r="10">
      <c r="A10" s="15"/>
      <c r="B10" s="2"/>
      <c r="C10" s="2"/>
      <c r="D10" s="2"/>
    </row>
    <row r="11">
      <c r="A11" s="16" t="s">
        <v>13</v>
      </c>
      <c r="B11" s="2"/>
      <c r="C11" s="2"/>
      <c r="D11" s="3"/>
    </row>
    <row r="12">
      <c r="A12" s="17"/>
      <c r="B12" s="2"/>
      <c r="C12" s="2"/>
      <c r="D12" s="2"/>
    </row>
    <row r="13">
      <c r="A13" s="18">
        <v>1.0</v>
      </c>
      <c r="B13" s="7" t="s">
        <v>14</v>
      </c>
      <c r="C13" s="3"/>
      <c r="D13" s="18" t="s">
        <v>15</v>
      </c>
    </row>
    <row r="14">
      <c r="A14" s="8" t="s">
        <v>16</v>
      </c>
      <c r="B14" s="9" t="s">
        <v>17</v>
      </c>
      <c r="C14" s="3"/>
      <c r="D14" s="19">
        <f>D6</f>
        <v>1268.74</v>
      </c>
    </row>
    <row r="15">
      <c r="A15" s="8" t="s">
        <v>18</v>
      </c>
      <c r="B15" s="9" t="s">
        <v>19</v>
      </c>
      <c r="C15" s="3"/>
      <c r="D15" s="19">
        <f>0.3*D14</f>
        <v>380.622</v>
      </c>
    </row>
    <row r="16">
      <c r="A16" s="8" t="s">
        <v>20</v>
      </c>
      <c r="B16" s="9" t="s">
        <v>21</v>
      </c>
      <c r="C16" s="3"/>
      <c r="D16" s="19" t="s">
        <v>22</v>
      </c>
    </row>
    <row r="17">
      <c r="A17" s="8" t="s">
        <v>23</v>
      </c>
      <c r="B17" s="9" t="s">
        <v>24</v>
      </c>
      <c r="C17" s="3"/>
      <c r="D17" s="19">
        <f>((D14+D15)/180)*0.35*7*15</f>
        <v>336.7447417</v>
      </c>
    </row>
    <row r="18">
      <c r="A18" s="8" t="s">
        <v>25</v>
      </c>
      <c r="B18" s="9" t="s">
        <v>26</v>
      </c>
      <c r="C18" s="3"/>
      <c r="D18" s="50">
        <f>((D14+D15)/180)*15</f>
        <v>137.4468333</v>
      </c>
    </row>
    <row r="19">
      <c r="A19" s="8" t="s">
        <v>27</v>
      </c>
      <c r="B19" s="9" t="s">
        <v>28</v>
      </c>
      <c r="C19" s="3"/>
      <c r="D19" s="19" t="s">
        <v>22</v>
      </c>
    </row>
    <row r="20">
      <c r="A20" s="11" t="s">
        <v>29</v>
      </c>
      <c r="B20" s="13" t="s">
        <v>30</v>
      </c>
      <c r="C20" s="3"/>
      <c r="D20" s="76" t="s">
        <v>22</v>
      </c>
    </row>
    <row r="21">
      <c r="A21" s="11" t="s">
        <v>31</v>
      </c>
      <c r="B21" s="13" t="s">
        <v>32</v>
      </c>
      <c r="C21" s="3"/>
      <c r="D21" s="76">
        <v>47.05</v>
      </c>
    </row>
    <row r="22">
      <c r="A22" s="11" t="s">
        <v>33</v>
      </c>
      <c r="B22" s="13" t="s">
        <v>34</v>
      </c>
      <c r="C22" s="3"/>
      <c r="D22" s="21">
        <f>D14*14.03%</f>
        <v>178.004222</v>
      </c>
    </row>
    <row r="23">
      <c r="A23" s="82" t="s">
        <v>35</v>
      </c>
      <c r="B23" s="83" t="s">
        <v>36</v>
      </c>
      <c r="C23" s="3"/>
      <c r="D23" s="84">
        <f>D14*0.51/12</f>
        <v>53.92145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>
      <c r="A24" s="11" t="s">
        <v>37</v>
      </c>
      <c r="B24" s="13" t="s">
        <v>38</v>
      </c>
      <c r="C24" s="3"/>
      <c r="D24" s="22" t="s">
        <v>22</v>
      </c>
    </row>
    <row r="25">
      <c r="A25" s="11" t="s">
        <v>103</v>
      </c>
      <c r="B25" s="13"/>
      <c r="C25" s="3"/>
      <c r="D25" s="22"/>
    </row>
    <row r="26">
      <c r="A26" s="7" t="s">
        <v>39</v>
      </c>
      <c r="B26" s="2"/>
      <c r="C26" s="3"/>
      <c r="D26" s="23">
        <f>SUM(D14:D24)</f>
        <v>2402.529247</v>
      </c>
    </row>
    <row r="27" ht="15.75" customHeight="1">
      <c r="A27" s="77" t="s">
        <v>40</v>
      </c>
      <c r="B27" s="2"/>
      <c r="C27" s="2"/>
      <c r="D27" s="3"/>
    </row>
    <row r="28" ht="15.75" customHeight="1">
      <c r="A28" s="16" t="s">
        <v>41</v>
      </c>
      <c r="B28" s="2"/>
      <c r="C28" s="2"/>
      <c r="D28" s="3"/>
    </row>
    <row r="29" ht="15.75" customHeight="1">
      <c r="A29" s="30"/>
      <c r="B29" s="25"/>
      <c r="C29" s="25"/>
      <c r="D29" s="25"/>
    </row>
    <row r="30" ht="15.75" customHeight="1">
      <c r="A30" s="31" t="s">
        <v>42</v>
      </c>
      <c r="B30" s="28"/>
      <c r="C30" s="28"/>
      <c r="D30" s="28"/>
      <c r="F30" s="20" t="s">
        <v>43</v>
      </c>
    </row>
    <row r="31" ht="15.75" customHeight="1">
      <c r="A31" s="18" t="s">
        <v>44</v>
      </c>
      <c r="B31" s="7" t="s">
        <v>45</v>
      </c>
      <c r="C31" s="3"/>
      <c r="D31" s="18" t="s">
        <v>15</v>
      </c>
      <c r="F31" s="32">
        <f>SUM(D14:D20)</f>
        <v>2123.553575</v>
      </c>
    </row>
    <row r="32" ht="15.75" customHeight="1">
      <c r="A32" s="8" t="s">
        <v>16</v>
      </c>
      <c r="B32" s="9" t="s">
        <v>46</v>
      </c>
      <c r="C32" s="3"/>
      <c r="D32" s="33">
        <f>F31*0.0833</f>
        <v>176.8920128</v>
      </c>
    </row>
    <row r="33" ht="15.75" customHeight="1">
      <c r="A33" s="8" t="s">
        <v>18</v>
      </c>
      <c r="B33" s="13" t="s">
        <v>47</v>
      </c>
      <c r="C33" s="3"/>
      <c r="D33" s="33">
        <f>F31*0.0833</f>
        <v>176.8920128</v>
      </c>
    </row>
    <row r="34" ht="15.75" customHeight="1">
      <c r="A34" s="7" t="s">
        <v>39</v>
      </c>
      <c r="B34" s="2"/>
      <c r="C34" s="3"/>
      <c r="D34" s="33">
        <f>SUM(D32:D33)</f>
        <v>353.7840256</v>
      </c>
    </row>
    <row r="35" ht="15.75" customHeight="1">
      <c r="A35" s="34"/>
    </row>
    <row r="36" ht="23.25" customHeight="1">
      <c r="A36" s="35" t="s">
        <v>48</v>
      </c>
    </row>
    <row r="37" ht="15.75" customHeight="1">
      <c r="A37" s="18" t="s">
        <v>49</v>
      </c>
      <c r="B37" s="18" t="s">
        <v>50</v>
      </c>
      <c r="C37" s="36" t="s">
        <v>51</v>
      </c>
      <c r="D37" s="18" t="s">
        <v>15</v>
      </c>
      <c r="E37" s="37"/>
      <c r="F37" s="36" t="s">
        <v>52</v>
      </c>
    </row>
    <row r="38" ht="15.75" customHeight="1">
      <c r="A38" s="8" t="s">
        <v>16</v>
      </c>
      <c r="B38" s="38" t="s">
        <v>53</v>
      </c>
      <c r="C38" s="39">
        <v>0.2</v>
      </c>
      <c r="D38" s="19">
        <f>F38*C38</f>
        <v>495.4675201</v>
      </c>
      <c r="E38" s="40"/>
      <c r="F38" s="19">
        <f>SUM(D14:D20,D34)</f>
        <v>2477.337601</v>
      </c>
    </row>
    <row r="39" ht="15.75" customHeight="1">
      <c r="A39" s="8" t="s">
        <v>18</v>
      </c>
      <c r="B39" s="38" t="s">
        <v>54</v>
      </c>
      <c r="C39" s="39">
        <v>0.025</v>
      </c>
      <c r="D39" s="19">
        <f>F38*C39</f>
        <v>61.93344001</v>
      </c>
      <c r="E39" s="40"/>
      <c r="F39" s="41"/>
    </row>
    <row r="40" ht="15.75" customHeight="1">
      <c r="A40" s="8" t="s">
        <v>20</v>
      </c>
      <c r="B40" s="38" t="s">
        <v>55</v>
      </c>
      <c r="C40" s="39">
        <v>0.03</v>
      </c>
      <c r="D40" s="19">
        <f>F38*C40</f>
        <v>74.32012802</v>
      </c>
      <c r="E40" s="40"/>
      <c r="F40" s="41"/>
    </row>
    <row r="41" ht="15.75" customHeight="1">
      <c r="A41" s="8" t="s">
        <v>23</v>
      </c>
      <c r="B41" s="38" t="s">
        <v>56</v>
      </c>
      <c r="C41" s="39">
        <v>0.015</v>
      </c>
      <c r="D41" s="19">
        <f>F38*C41</f>
        <v>37.16006401</v>
      </c>
      <c r="E41" s="40"/>
      <c r="F41" s="41"/>
    </row>
    <row r="42" ht="15.75" customHeight="1">
      <c r="A42" s="8" t="s">
        <v>25</v>
      </c>
      <c r="B42" s="38" t="s">
        <v>57</v>
      </c>
      <c r="C42" s="39">
        <v>0.01</v>
      </c>
      <c r="D42" s="19">
        <f>F38*C42</f>
        <v>24.77337601</v>
      </c>
      <c r="E42" s="40"/>
      <c r="F42" s="41"/>
    </row>
    <row r="43" ht="15.75" customHeight="1">
      <c r="A43" s="8" t="s">
        <v>27</v>
      </c>
      <c r="B43" s="38" t="s">
        <v>58</v>
      </c>
      <c r="C43" s="39">
        <v>0.006</v>
      </c>
      <c r="D43" s="19">
        <f>F38*C43</f>
        <v>14.8640256</v>
      </c>
      <c r="E43" s="40"/>
      <c r="F43" s="41"/>
    </row>
    <row r="44" ht="15.75" customHeight="1">
      <c r="A44" s="8" t="s">
        <v>29</v>
      </c>
      <c r="B44" s="38" t="s">
        <v>59</v>
      </c>
      <c r="C44" s="39">
        <v>0.002</v>
      </c>
      <c r="D44" s="19">
        <f>F38*C44</f>
        <v>4.954675201</v>
      </c>
      <c r="E44" s="40"/>
      <c r="F44" s="41"/>
    </row>
    <row r="45" ht="15.75" customHeight="1">
      <c r="A45" s="8" t="s">
        <v>31</v>
      </c>
      <c r="B45" s="38" t="s">
        <v>60</v>
      </c>
      <c r="C45" s="39">
        <v>0.08</v>
      </c>
      <c r="D45" s="19">
        <f>F38*C45</f>
        <v>198.187008</v>
      </c>
      <c r="E45" s="40"/>
      <c r="F45" s="41"/>
    </row>
    <row r="46" ht="15.75" customHeight="1">
      <c r="A46" s="7" t="s">
        <v>39</v>
      </c>
      <c r="B46" s="3"/>
      <c r="C46" s="43">
        <f t="shared" ref="C46:D46" si="1">SUM(C38:C45)</f>
        <v>0.368</v>
      </c>
      <c r="D46" s="19">
        <f t="shared" si="1"/>
        <v>911.660237</v>
      </c>
      <c r="E46" s="40"/>
      <c r="F46" s="41"/>
    </row>
    <row r="47" ht="15.75" customHeight="1">
      <c r="A47" s="34"/>
    </row>
    <row r="48" ht="15.75" customHeight="1">
      <c r="A48" s="44" t="s">
        <v>61</v>
      </c>
      <c r="B48" s="28"/>
      <c r="C48" s="28"/>
      <c r="D48" s="28"/>
    </row>
    <row r="49" ht="15.75" customHeight="1">
      <c r="A49" s="18" t="s">
        <v>62</v>
      </c>
      <c r="B49" s="7" t="s">
        <v>63</v>
      </c>
      <c r="C49" s="3"/>
      <c r="D49" s="18" t="s">
        <v>15</v>
      </c>
      <c r="F49" s="45" t="s">
        <v>64</v>
      </c>
      <c r="G49" s="46"/>
      <c r="H49" s="47"/>
    </row>
    <row r="50" ht="15.75" customHeight="1">
      <c r="A50" s="8" t="s">
        <v>16</v>
      </c>
      <c r="B50" s="9" t="s">
        <v>65</v>
      </c>
      <c r="C50" s="3"/>
      <c r="D50" s="33">
        <f>(15*2*G50)-(0.06*0.5*D14)</f>
        <v>90.9378</v>
      </c>
      <c r="F50" s="48" t="s">
        <v>66</v>
      </c>
      <c r="G50" s="49">
        <v>4.3</v>
      </c>
      <c r="H50" s="47"/>
    </row>
    <row r="51" ht="15.75" customHeight="1">
      <c r="A51" s="8" t="s">
        <v>18</v>
      </c>
      <c r="B51" s="13" t="s">
        <v>67</v>
      </c>
      <c r="C51" s="3"/>
      <c r="D51" s="33">
        <f>(15*G52)-(0.15*15*G52)</f>
        <v>191.25</v>
      </c>
      <c r="F51" s="45" t="s">
        <v>68</v>
      </c>
      <c r="G51" s="46"/>
      <c r="H51" s="47"/>
    </row>
    <row r="52" ht="15.75" customHeight="1">
      <c r="A52" s="8" t="s">
        <v>20</v>
      </c>
      <c r="B52" s="9" t="s">
        <v>69</v>
      </c>
      <c r="C52" s="3"/>
      <c r="D52" s="50">
        <v>80.0</v>
      </c>
      <c r="F52" s="48" t="s">
        <v>70</v>
      </c>
      <c r="G52" s="51">
        <v>15.0</v>
      </c>
      <c r="H52" s="47"/>
    </row>
    <row r="53" ht="15.75" customHeight="1">
      <c r="A53" s="8" t="s">
        <v>23</v>
      </c>
      <c r="B53" s="9" t="s">
        <v>71</v>
      </c>
      <c r="C53" s="3"/>
      <c r="D53" s="50">
        <f>182.79*0.66</f>
        <v>120.6414</v>
      </c>
      <c r="F53" s="78"/>
      <c r="G53" s="46"/>
      <c r="H53" s="47"/>
    </row>
    <row r="54" ht="15.75" customHeight="1">
      <c r="A54" s="8" t="s">
        <v>25</v>
      </c>
      <c r="B54" s="13" t="s">
        <v>72</v>
      </c>
      <c r="C54" s="3"/>
      <c r="D54" s="33">
        <f>D14*1.5/12</f>
        <v>158.5925</v>
      </c>
      <c r="F54" s="79"/>
      <c r="G54" s="51"/>
      <c r="H54" s="47"/>
    </row>
    <row r="55" ht="15.75" customHeight="1">
      <c r="A55" s="7" t="s">
        <v>39</v>
      </c>
      <c r="B55" s="2"/>
      <c r="C55" s="3"/>
      <c r="D55" s="33">
        <f>SUM(D50:D54)</f>
        <v>641.4217</v>
      </c>
      <c r="H55" s="47"/>
    </row>
    <row r="56" ht="15.75" customHeight="1">
      <c r="A56" s="34"/>
      <c r="F56" s="52"/>
      <c r="G56" s="52"/>
    </row>
    <row r="57" ht="15.75" customHeight="1">
      <c r="A57" s="35" t="s">
        <v>73</v>
      </c>
      <c r="F57" s="52"/>
      <c r="G57" s="52"/>
    </row>
    <row r="58" ht="15.75" customHeight="1">
      <c r="A58" s="18">
        <v>2.0</v>
      </c>
      <c r="B58" s="7" t="s">
        <v>74</v>
      </c>
      <c r="C58" s="3"/>
      <c r="D58" s="18" t="s">
        <v>15</v>
      </c>
      <c r="F58" s="52"/>
      <c r="G58" s="52"/>
    </row>
    <row r="59" ht="15.75" customHeight="1">
      <c r="A59" s="8" t="s">
        <v>44</v>
      </c>
      <c r="B59" s="9" t="s">
        <v>45</v>
      </c>
      <c r="C59" s="3"/>
      <c r="D59" s="19">
        <f>D34</f>
        <v>353.7840256</v>
      </c>
      <c r="F59" s="52"/>
      <c r="G59" s="52"/>
    </row>
    <row r="60" ht="15.75" customHeight="1">
      <c r="A60" s="8" t="s">
        <v>49</v>
      </c>
      <c r="B60" s="9" t="s">
        <v>50</v>
      </c>
      <c r="C60" s="3"/>
      <c r="D60" s="19">
        <f>D46</f>
        <v>911.660237</v>
      </c>
      <c r="F60" s="52"/>
      <c r="G60" s="52"/>
    </row>
    <row r="61" ht="15.75" customHeight="1">
      <c r="A61" s="8" t="s">
        <v>62</v>
      </c>
      <c r="B61" s="9" t="s">
        <v>63</v>
      </c>
      <c r="C61" s="3"/>
      <c r="D61" s="19">
        <f>D55</f>
        <v>641.4217</v>
      </c>
      <c r="F61" s="52"/>
      <c r="G61" s="52"/>
    </row>
    <row r="62" ht="15.75" customHeight="1">
      <c r="A62" s="7" t="s">
        <v>39</v>
      </c>
      <c r="B62" s="2"/>
      <c r="C62" s="3"/>
      <c r="D62" s="23">
        <f>SUM(D59:D61)</f>
        <v>1906.865963</v>
      </c>
    </row>
    <row r="63" ht="15.75" customHeight="1">
      <c r="A63" s="15"/>
      <c r="B63" s="2"/>
      <c r="C63" s="2"/>
      <c r="D63" s="2"/>
    </row>
    <row r="64" ht="15.75" customHeight="1">
      <c r="A64" s="53" t="s">
        <v>75</v>
      </c>
      <c r="B64" s="2"/>
      <c r="C64" s="2"/>
      <c r="D64" s="3"/>
    </row>
    <row r="65" ht="15.75" customHeight="1">
      <c r="A65" s="54"/>
      <c r="B65" s="25"/>
      <c r="C65" s="25"/>
      <c r="D65" s="25"/>
    </row>
    <row r="66" ht="15.75" customHeight="1">
      <c r="A66" s="44" t="s">
        <v>76</v>
      </c>
      <c r="B66" s="28"/>
      <c r="C66" s="28"/>
      <c r="D66" s="28"/>
    </row>
    <row r="67" ht="15.75" customHeight="1">
      <c r="A67" s="55" t="s">
        <v>77</v>
      </c>
      <c r="B67" s="56" t="s">
        <v>78</v>
      </c>
      <c r="C67" s="29"/>
      <c r="D67" s="55" t="s">
        <v>15</v>
      </c>
    </row>
    <row r="68" ht="15.75" customHeight="1">
      <c r="A68" s="8" t="s">
        <v>16</v>
      </c>
      <c r="B68" s="9" t="s">
        <v>78</v>
      </c>
      <c r="C68" s="3"/>
      <c r="D68" s="33">
        <f>F31*0.42%</f>
        <v>8.918925015</v>
      </c>
    </row>
    <row r="69" ht="15.75" customHeight="1">
      <c r="A69" s="8" t="s">
        <v>18</v>
      </c>
      <c r="B69" s="57" t="s">
        <v>79</v>
      </c>
      <c r="D69" s="58">
        <f>D68*2.2%</f>
        <v>0.1962163503</v>
      </c>
    </row>
    <row r="70" ht="15.75" customHeight="1">
      <c r="A70" s="11" t="s">
        <v>20</v>
      </c>
      <c r="B70" s="9" t="s">
        <v>80</v>
      </c>
      <c r="C70" s="3"/>
      <c r="D70" s="33">
        <f>F31*2.5%</f>
        <v>53.08883938</v>
      </c>
    </row>
    <row r="71" ht="15.75" customHeight="1">
      <c r="A71" s="7" t="s">
        <v>39</v>
      </c>
      <c r="B71" s="2"/>
      <c r="C71" s="3"/>
      <c r="D71" s="33">
        <f>SUM(D68:D70)</f>
        <v>62.20398074</v>
      </c>
    </row>
    <row r="72" ht="15.75" customHeight="1">
      <c r="A72" s="30"/>
      <c r="B72" s="25"/>
      <c r="C72" s="25"/>
      <c r="D72" s="25"/>
    </row>
    <row r="73" ht="15.75" customHeight="1">
      <c r="A73" s="44" t="s">
        <v>81</v>
      </c>
      <c r="B73" s="28"/>
      <c r="C73" s="28"/>
      <c r="D73" s="28"/>
    </row>
    <row r="74" ht="15.75" customHeight="1">
      <c r="A74" s="55" t="s">
        <v>82</v>
      </c>
      <c r="B74" s="56" t="s">
        <v>83</v>
      </c>
      <c r="C74" s="29"/>
      <c r="D74" s="55" t="s">
        <v>15</v>
      </c>
    </row>
    <row r="75" ht="15.75" customHeight="1">
      <c r="A75" s="8" t="s">
        <v>16</v>
      </c>
      <c r="B75" s="9" t="s">
        <v>83</v>
      </c>
      <c r="C75" s="3"/>
      <c r="D75" s="33">
        <f>F31*1.94%</f>
        <v>41.19693936</v>
      </c>
    </row>
    <row r="76" ht="15.75" customHeight="1">
      <c r="A76" s="8" t="s">
        <v>18</v>
      </c>
      <c r="B76" s="59" t="s">
        <v>84</v>
      </c>
      <c r="C76" s="3"/>
      <c r="D76" s="58">
        <f>D75*2.2%</f>
        <v>0.9063326658</v>
      </c>
    </row>
    <row r="77" ht="15.75" customHeight="1">
      <c r="A77" s="11" t="s">
        <v>20</v>
      </c>
      <c r="B77" s="9" t="s">
        <v>85</v>
      </c>
      <c r="C77" s="3"/>
      <c r="D77" s="33">
        <f>F31*2.5%</f>
        <v>53.08883938</v>
      </c>
    </row>
    <row r="78" ht="15.75" customHeight="1">
      <c r="A78" s="7" t="s">
        <v>39</v>
      </c>
      <c r="B78" s="2"/>
      <c r="C78" s="3"/>
      <c r="D78" s="33">
        <f>SUM(D75:D77)</f>
        <v>95.1921114</v>
      </c>
    </row>
    <row r="79" ht="15.75" customHeight="1">
      <c r="A79" s="35"/>
    </row>
    <row r="80" ht="15.75" customHeight="1">
      <c r="A80" s="60" t="s">
        <v>86</v>
      </c>
    </row>
    <row r="81" ht="15.75" customHeight="1">
      <c r="A81" s="35"/>
      <c r="B81" s="35"/>
      <c r="C81" s="35"/>
      <c r="D81" s="35"/>
    </row>
    <row r="82" ht="15.75" customHeight="1">
      <c r="A82" s="44" t="s">
        <v>87</v>
      </c>
      <c r="B82" s="28"/>
      <c r="C82" s="28"/>
      <c r="D82" s="28"/>
    </row>
    <row r="83" ht="15.75" customHeight="1">
      <c r="A83" s="55">
        <v>3.0</v>
      </c>
      <c r="B83" s="56" t="s">
        <v>88</v>
      </c>
      <c r="C83" s="29"/>
      <c r="D83" s="55" t="s">
        <v>15</v>
      </c>
    </row>
    <row r="84" ht="15.75" customHeight="1">
      <c r="A84" s="8" t="s">
        <v>77</v>
      </c>
      <c r="B84" s="9" t="s">
        <v>78</v>
      </c>
      <c r="C84" s="3"/>
      <c r="D84" s="33">
        <f>D71</f>
        <v>62.20398074</v>
      </c>
    </row>
    <row r="85" ht="15.75" customHeight="1">
      <c r="A85" s="8" t="s">
        <v>82</v>
      </c>
      <c r="B85" s="9" t="s">
        <v>83</v>
      </c>
      <c r="C85" s="3"/>
      <c r="D85" s="33">
        <f>D78</f>
        <v>95.1921114</v>
      </c>
    </row>
    <row r="86" ht="15.75" customHeight="1">
      <c r="A86" s="7" t="s">
        <v>39</v>
      </c>
      <c r="B86" s="2"/>
      <c r="C86" s="3"/>
      <c r="D86" s="61">
        <f>SUM(D84:D85)</f>
        <v>157.3960921</v>
      </c>
    </row>
    <row r="87" ht="15.75" customHeight="1">
      <c r="A87" s="31"/>
      <c r="B87" s="28"/>
      <c r="C87" s="28"/>
      <c r="D87" s="28"/>
    </row>
    <row r="88" ht="15.75" customHeight="1">
      <c r="A88" s="62" t="s">
        <v>89</v>
      </c>
      <c r="B88" s="63"/>
      <c r="C88" s="63"/>
      <c r="D88" s="64"/>
    </row>
    <row r="89" ht="15.75" customHeight="1">
      <c r="A89" s="34"/>
    </row>
    <row r="90" ht="15.75" customHeight="1">
      <c r="A90" s="44" t="s">
        <v>90</v>
      </c>
      <c r="B90" s="28"/>
      <c r="C90" s="28"/>
      <c r="D90" s="28"/>
    </row>
    <row r="91" ht="15.75" customHeight="1">
      <c r="A91" s="55" t="s">
        <v>91</v>
      </c>
      <c r="B91" s="56" t="s">
        <v>92</v>
      </c>
      <c r="C91" s="29"/>
      <c r="D91" s="55" t="s">
        <v>15</v>
      </c>
    </row>
    <row r="92" ht="15.75" customHeight="1">
      <c r="A92" s="8" t="s">
        <v>16</v>
      </c>
      <c r="B92" s="9" t="s">
        <v>47</v>
      </c>
      <c r="C92" s="3"/>
      <c r="D92" s="65">
        <f>F31*9.075%</f>
        <v>192.7124869</v>
      </c>
    </row>
    <row r="93" ht="15.75" customHeight="1">
      <c r="A93" s="8" t="s">
        <v>18</v>
      </c>
      <c r="B93" s="9" t="s">
        <v>93</v>
      </c>
      <c r="C93" s="3"/>
      <c r="D93" s="19">
        <f>(1*1)*(365/365)*((D26+D62+D86)/30)/12</f>
        <v>12.40775362</v>
      </c>
    </row>
    <row r="94" ht="15.75" customHeight="1">
      <c r="A94" s="8" t="s">
        <v>20</v>
      </c>
      <c r="B94" s="9" t="s">
        <v>94</v>
      </c>
      <c r="C94" s="3"/>
      <c r="D94" s="19">
        <f>(0.5*5)*(0.5)*((D26+D62+D86)/30)/12</f>
        <v>15.50969202</v>
      </c>
    </row>
    <row r="95" ht="15.75" customHeight="1">
      <c r="A95" s="8" t="s">
        <v>23</v>
      </c>
      <c r="B95" s="66" t="s">
        <v>95</v>
      </c>
      <c r="C95" s="3"/>
      <c r="D95" s="19">
        <f>(0.0922*15)*(0.5)*((D26+D62+D86)/30)/12</f>
        <v>8.579961625</v>
      </c>
    </row>
    <row r="96" ht="15.75" customHeight="1">
      <c r="A96" s="8" t="s">
        <v>25</v>
      </c>
      <c r="B96" s="66" t="s">
        <v>96</v>
      </c>
      <c r="C96" s="3"/>
      <c r="D96" s="19">
        <f>(1*5)*(0.5)*((D26+D62+D86)/30)/12</f>
        <v>31.01938404</v>
      </c>
    </row>
    <row r="97" ht="15.75" customHeight="1">
      <c r="A97" s="8" t="s">
        <v>27</v>
      </c>
      <c r="B97" s="66" t="s">
        <v>97</v>
      </c>
      <c r="C97" s="3"/>
      <c r="D97" s="19">
        <f>(0.1344*2)*(365/365)*((D26+D62+D86)/30)/12</f>
        <v>3.335204172</v>
      </c>
    </row>
    <row r="98" ht="15.75" customHeight="1">
      <c r="A98" s="8" t="s">
        <v>29</v>
      </c>
      <c r="B98" s="66" t="s">
        <v>98</v>
      </c>
      <c r="C98" s="3"/>
      <c r="D98" s="19">
        <f>(0.0305*2)*(0.5)*((D26+D62+D86)/30)/12</f>
        <v>0.3784364853</v>
      </c>
    </row>
    <row r="99" ht="15.75" customHeight="1">
      <c r="A99" s="8" t="s">
        <v>31</v>
      </c>
      <c r="B99" s="66" t="s">
        <v>99</v>
      </c>
      <c r="C99" s="3"/>
      <c r="D99" s="19">
        <f>(0.0118*3)*(0.5)*((D26+D62+D86)/30)/12</f>
        <v>0.219617239</v>
      </c>
    </row>
    <row r="100" ht="15.75" customHeight="1">
      <c r="A100" s="8" t="s">
        <v>33</v>
      </c>
      <c r="B100" s="66" t="s">
        <v>100</v>
      </c>
      <c r="C100" s="3"/>
      <c r="D100" s="19">
        <f>(0.02*1)*(365/365)*((D26+D62+D86)/30)/12</f>
        <v>0.2481550723</v>
      </c>
    </row>
    <row r="101" ht="15.75" customHeight="1">
      <c r="A101" s="8" t="s">
        <v>35</v>
      </c>
      <c r="B101" s="66" t="s">
        <v>101</v>
      </c>
      <c r="C101" s="3"/>
      <c r="D101" s="19">
        <f>(0.004*1)*(365/365)*((D26+D62+D86)/30)/12</f>
        <v>0.04963101446</v>
      </c>
    </row>
    <row r="102" ht="15.75" customHeight="1">
      <c r="A102" s="8" t="s">
        <v>37</v>
      </c>
      <c r="B102" s="66" t="s">
        <v>102</v>
      </c>
      <c r="C102" s="3"/>
      <c r="D102" s="19">
        <f>(0.0325*20)*(0.5)*((D26+D62+D86)/30)/12</f>
        <v>4.032519925</v>
      </c>
    </row>
    <row r="103" ht="15.75" customHeight="1">
      <c r="A103" s="8" t="s">
        <v>103</v>
      </c>
      <c r="B103" s="66" t="s">
        <v>104</v>
      </c>
      <c r="C103" s="3"/>
      <c r="D103" s="19">
        <f>(0.0028*180)*(0.5)*((D26+D62+D86)/30)/12</f>
        <v>3.126753911</v>
      </c>
    </row>
    <row r="104" ht="15.75" customHeight="1">
      <c r="A104" s="8" t="s">
        <v>105</v>
      </c>
      <c r="B104" s="66" t="s">
        <v>106</v>
      </c>
      <c r="C104" s="3"/>
      <c r="D104" s="19">
        <f>(0.0002*6)*(365/365)*((D26+D62+D86)/30)/12</f>
        <v>0.01488930434</v>
      </c>
    </row>
    <row r="105" ht="15.75" customHeight="1">
      <c r="A105" s="7" t="s">
        <v>39</v>
      </c>
      <c r="B105" s="2"/>
      <c r="C105" s="3"/>
      <c r="D105" s="19">
        <f>SUM(D92:D104)</f>
        <v>271.6344854</v>
      </c>
    </row>
    <row r="106" ht="15.75" customHeight="1">
      <c r="A106" s="30"/>
      <c r="B106" s="25"/>
      <c r="C106" s="25"/>
      <c r="D106" s="25"/>
    </row>
    <row r="107" ht="15.75" customHeight="1">
      <c r="A107" s="44" t="s">
        <v>107</v>
      </c>
      <c r="B107" s="28"/>
      <c r="C107" s="28"/>
      <c r="D107" s="28"/>
    </row>
    <row r="108" ht="21.75" customHeight="1">
      <c r="A108" s="55" t="s">
        <v>108</v>
      </c>
      <c r="B108" s="56" t="s">
        <v>109</v>
      </c>
      <c r="C108" s="29"/>
      <c r="D108" s="55" t="s">
        <v>15</v>
      </c>
    </row>
    <row r="109" ht="15.75" customHeight="1">
      <c r="A109" s="8" t="s">
        <v>16</v>
      </c>
      <c r="B109" s="9" t="s">
        <v>110</v>
      </c>
      <c r="C109" s="3"/>
      <c r="D109" s="19">
        <f>((((D26/180)*1.2)*1.5)*15)</f>
        <v>360.3793871</v>
      </c>
    </row>
    <row r="110" ht="15.75" customHeight="1">
      <c r="A110" s="7" t="s">
        <v>39</v>
      </c>
      <c r="B110" s="2"/>
      <c r="C110" s="3"/>
      <c r="D110" s="19">
        <f>SUM(D109)</f>
        <v>360.3793871</v>
      </c>
    </row>
    <row r="111" ht="15.75" customHeight="1">
      <c r="A111" s="30"/>
      <c r="B111" s="25"/>
      <c r="C111" s="25"/>
      <c r="D111" s="25"/>
    </row>
    <row r="112" ht="15.75" customHeight="1">
      <c r="A112" s="44" t="s">
        <v>111</v>
      </c>
      <c r="B112" s="28"/>
      <c r="C112" s="28"/>
      <c r="D112" s="28"/>
    </row>
    <row r="113" ht="15.75" customHeight="1">
      <c r="A113" s="55">
        <v>4.0</v>
      </c>
      <c r="B113" s="56" t="s">
        <v>112</v>
      </c>
      <c r="C113" s="29"/>
      <c r="D113" s="55" t="s">
        <v>15</v>
      </c>
    </row>
    <row r="114" ht="15.75" customHeight="1">
      <c r="A114" s="8" t="s">
        <v>91</v>
      </c>
      <c r="B114" s="9" t="s">
        <v>92</v>
      </c>
      <c r="C114" s="3"/>
      <c r="D114" s="33">
        <f>D105</f>
        <v>271.6344854</v>
      </c>
    </row>
    <row r="115" ht="15.75" customHeight="1">
      <c r="A115" s="8" t="s">
        <v>108</v>
      </c>
      <c r="B115" s="9" t="s">
        <v>109</v>
      </c>
      <c r="C115" s="3"/>
      <c r="D115" s="33">
        <f>D110</f>
        <v>360.3793871</v>
      </c>
    </row>
    <row r="116" ht="15.75" customHeight="1">
      <c r="A116" s="7" t="s">
        <v>39</v>
      </c>
      <c r="B116" s="2"/>
      <c r="C116" s="3"/>
      <c r="D116" s="61">
        <f>SUM(D114:D115)</f>
        <v>632.0138724</v>
      </c>
    </row>
    <row r="117" ht="15.75" customHeight="1">
      <c r="A117" s="15"/>
      <c r="B117" s="2"/>
      <c r="C117" s="2"/>
      <c r="D117" s="2"/>
    </row>
    <row r="118" ht="15.75" customHeight="1">
      <c r="A118" s="53" t="s">
        <v>113</v>
      </c>
      <c r="B118" s="2"/>
      <c r="C118" s="2"/>
      <c r="D118" s="3"/>
    </row>
    <row r="119" ht="15.75" customHeight="1">
      <c r="A119" s="17"/>
      <c r="B119" s="2"/>
      <c r="C119" s="2"/>
      <c r="D119" s="2"/>
    </row>
    <row r="120" ht="15.75" customHeight="1">
      <c r="A120" s="18">
        <v>5.0</v>
      </c>
      <c r="B120" s="7" t="s">
        <v>114</v>
      </c>
      <c r="C120" s="3"/>
      <c r="D120" s="18" t="s">
        <v>15</v>
      </c>
      <c r="F120" s="67" t="s">
        <v>115</v>
      </c>
    </row>
    <row r="121" ht="15.75" customHeight="1">
      <c r="A121" s="8" t="s">
        <v>16</v>
      </c>
      <c r="B121" s="9" t="s">
        <v>116</v>
      </c>
      <c r="C121" s="3"/>
      <c r="D121" s="33">
        <f>Uniformes!E13</f>
        <v>59.89416667</v>
      </c>
      <c r="F121" s="33">
        <f>(((D145+D129+D130)/(1-8.65%)))</f>
        <v>6518.34096</v>
      </c>
    </row>
    <row r="122" ht="15.75" customHeight="1">
      <c r="A122" s="8" t="s">
        <v>18</v>
      </c>
      <c r="B122" s="9" t="s">
        <v>117</v>
      </c>
      <c r="C122" s="3"/>
      <c r="D122" s="33">
        <f>'Utensílios e materiais'!F9</f>
        <v>2.71671875</v>
      </c>
      <c r="F122" s="67" t="s">
        <v>118</v>
      </c>
    </row>
    <row r="123" ht="15.75" customHeight="1">
      <c r="A123" s="8" t="s">
        <v>20</v>
      </c>
      <c r="B123" s="9" t="s">
        <v>119</v>
      </c>
      <c r="C123" s="3"/>
      <c r="D123" s="33">
        <f>Equipamentos!F10</f>
        <v>39.93305556</v>
      </c>
      <c r="F123" s="68">
        <f>((D145+F129+F130)/(1-14.25%))</f>
        <v>6944.028533</v>
      </c>
    </row>
    <row r="124" ht="15.75" customHeight="1">
      <c r="A124" s="7" t="s">
        <v>39</v>
      </c>
      <c r="B124" s="2"/>
      <c r="C124" s="3"/>
      <c r="D124" s="61">
        <f>SUM(D121:D123)</f>
        <v>102.543941</v>
      </c>
    </row>
    <row r="125" ht="15.75" customHeight="1">
      <c r="A125" s="69"/>
      <c r="B125" s="28"/>
      <c r="C125" s="28"/>
      <c r="D125" s="28"/>
    </row>
    <row r="126" ht="15.75" customHeight="1">
      <c r="A126" s="53" t="s">
        <v>120</v>
      </c>
      <c r="B126" s="2"/>
      <c r="C126" s="2"/>
      <c r="D126" s="3"/>
    </row>
    <row r="127" ht="15.75" customHeight="1">
      <c r="A127" s="17"/>
      <c r="B127" s="17"/>
      <c r="C127" s="70" t="s">
        <v>121</v>
      </c>
      <c r="D127" s="2"/>
      <c r="E127" s="71" t="s">
        <v>122</v>
      </c>
      <c r="F127" s="3"/>
    </row>
    <row r="128" ht="15.75" customHeight="1">
      <c r="A128" s="18">
        <v>6.0</v>
      </c>
      <c r="B128" s="18" t="s">
        <v>114</v>
      </c>
      <c r="C128" s="18" t="s">
        <v>123</v>
      </c>
      <c r="D128" s="18" t="s">
        <v>15</v>
      </c>
      <c r="E128" s="18" t="s">
        <v>123</v>
      </c>
      <c r="F128" s="18" t="s">
        <v>15</v>
      </c>
    </row>
    <row r="129" ht="15.75" customHeight="1">
      <c r="A129" s="8" t="s">
        <v>16</v>
      </c>
      <c r="B129" s="38" t="s">
        <v>124</v>
      </c>
      <c r="C129" s="50">
        <v>6.0</v>
      </c>
      <c r="D129" s="33">
        <f>(D145*C129)*0.01</f>
        <v>312.0809469</v>
      </c>
      <c r="E129" s="72">
        <v>6.0</v>
      </c>
      <c r="F129" s="33">
        <f>D145*6%</f>
        <v>312.0809469</v>
      </c>
    </row>
    <row r="130" ht="15.75" customHeight="1">
      <c r="A130" s="8" t="s">
        <v>18</v>
      </c>
      <c r="B130" s="38" t="s">
        <v>125</v>
      </c>
      <c r="C130" s="50">
        <v>8.0</v>
      </c>
      <c r="D130" s="33">
        <f>(D145+D129)*0.01*C130</f>
        <v>441.074405</v>
      </c>
      <c r="E130" s="72">
        <v>8.0</v>
      </c>
      <c r="F130" s="33">
        <f>(D145+F129)*E130*0.01</f>
        <v>441.074405</v>
      </c>
    </row>
    <row r="131" ht="15.75" customHeight="1">
      <c r="A131" s="8" t="s">
        <v>20</v>
      </c>
      <c r="B131" s="38" t="s">
        <v>126</v>
      </c>
      <c r="C131" s="33">
        <f>SUM(C132:C134)</f>
        <v>8.65</v>
      </c>
      <c r="D131" s="73"/>
      <c r="E131" s="72">
        <f>SUM(E132:E134)</f>
        <v>14.25</v>
      </c>
      <c r="F131" s="33"/>
    </row>
    <row r="132" ht="15.75" customHeight="1">
      <c r="A132" s="8"/>
      <c r="B132" s="80" t="s">
        <v>137</v>
      </c>
      <c r="C132" s="33">
        <v>3.65</v>
      </c>
      <c r="D132" s="33">
        <f>F121*3.65%</f>
        <v>237.919445</v>
      </c>
      <c r="E132" s="72">
        <f>1.65+7.6</f>
        <v>9.25</v>
      </c>
      <c r="F132" s="58">
        <f>F123*9.25%</f>
        <v>642.3226393</v>
      </c>
    </row>
    <row r="133" ht="15.75" customHeight="1">
      <c r="A133" s="8"/>
      <c r="B133" s="80" t="s">
        <v>138</v>
      </c>
      <c r="C133" s="33"/>
      <c r="D133" s="33"/>
      <c r="E133" s="74"/>
      <c r="F133" s="58"/>
    </row>
    <row r="134" ht="15.75" customHeight="1">
      <c r="A134" s="8"/>
      <c r="B134" s="38" t="s">
        <v>129</v>
      </c>
      <c r="C134" s="33">
        <v>5.0</v>
      </c>
      <c r="D134" s="33">
        <f>F121*5%</f>
        <v>325.917048</v>
      </c>
      <c r="E134" s="72">
        <v>5.0</v>
      </c>
      <c r="F134" s="58">
        <f>F123*5%</f>
        <v>347.2014266</v>
      </c>
    </row>
    <row r="135" ht="15.75" customHeight="1">
      <c r="A135" s="7" t="s">
        <v>39</v>
      </c>
      <c r="B135" s="3"/>
      <c r="C135" s="19">
        <f>SUM(C129:C131)</f>
        <v>22.65</v>
      </c>
      <c r="D135" s="23">
        <f>SUM(D129:D134)</f>
        <v>1316.991845</v>
      </c>
      <c r="E135" s="74">
        <f>SUM(E129:E131)</f>
        <v>28.25</v>
      </c>
      <c r="F135" s="81">
        <f>SUM(F129:F134)</f>
        <v>1742.679418</v>
      </c>
    </row>
    <row r="136" ht="15.75" customHeight="1">
      <c r="A136" s="34"/>
    </row>
    <row r="137" ht="15.0" customHeight="1">
      <c r="A137" s="75" t="s">
        <v>130</v>
      </c>
      <c r="B137" s="2"/>
      <c r="C137" s="2"/>
      <c r="D137" s="3"/>
    </row>
    <row r="138" ht="15.75" customHeight="1">
      <c r="A138" s="17"/>
      <c r="B138" s="2"/>
      <c r="C138" s="2"/>
      <c r="D138" s="2"/>
    </row>
    <row r="139" ht="15.75" customHeight="1">
      <c r="A139" s="7" t="s">
        <v>131</v>
      </c>
      <c r="B139" s="2"/>
      <c r="C139" s="3"/>
      <c r="D139" s="18" t="s">
        <v>15</v>
      </c>
      <c r="F139" s="18" t="s">
        <v>15</v>
      </c>
    </row>
    <row r="140" ht="15.75" customHeight="1">
      <c r="A140" s="18" t="s">
        <v>16</v>
      </c>
      <c r="B140" s="9" t="s">
        <v>13</v>
      </c>
      <c r="C140" s="3"/>
      <c r="D140" s="19">
        <f>D26</f>
        <v>2402.529247</v>
      </c>
      <c r="F140" s="19">
        <f t="shared" ref="F140:F144" si="2">D140</f>
        <v>2402.529247</v>
      </c>
    </row>
    <row r="141" ht="15.75" customHeight="1">
      <c r="A141" s="18" t="s">
        <v>18</v>
      </c>
      <c r="B141" s="9" t="s">
        <v>41</v>
      </c>
      <c r="C141" s="3"/>
      <c r="D141" s="19">
        <f>D62</f>
        <v>1906.865963</v>
      </c>
      <c r="F141" s="19">
        <f t="shared" si="2"/>
        <v>1906.865963</v>
      </c>
    </row>
    <row r="142" ht="15.75" customHeight="1">
      <c r="A142" s="18" t="s">
        <v>20</v>
      </c>
      <c r="B142" s="9" t="s">
        <v>75</v>
      </c>
      <c r="C142" s="3"/>
      <c r="D142" s="19">
        <f>D86</f>
        <v>157.3960921</v>
      </c>
      <c r="F142" s="19">
        <f t="shared" si="2"/>
        <v>157.3960921</v>
      </c>
    </row>
    <row r="143" ht="15.75" customHeight="1">
      <c r="A143" s="18" t="s">
        <v>23</v>
      </c>
      <c r="B143" s="9" t="s">
        <v>89</v>
      </c>
      <c r="C143" s="3"/>
      <c r="D143" s="19">
        <f>D116</f>
        <v>632.0138724</v>
      </c>
      <c r="F143" s="19">
        <f t="shared" si="2"/>
        <v>632.0138724</v>
      </c>
    </row>
    <row r="144" ht="15.75" customHeight="1">
      <c r="A144" s="18" t="s">
        <v>25</v>
      </c>
      <c r="B144" s="9" t="s">
        <v>113</v>
      </c>
      <c r="C144" s="3"/>
      <c r="D144" s="19">
        <f>D124</f>
        <v>102.543941</v>
      </c>
      <c r="F144" s="19">
        <f t="shared" si="2"/>
        <v>102.543941</v>
      </c>
    </row>
    <row r="145" ht="15.75" customHeight="1">
      <c r="A145" s="7" t="s">
        <v>132</v>
      </c>
      <c r="B145" s="2"/>
      <c r="C145" s="3"/>
      <c r="D145" s="19">
        <f>SUM(D140:D144)</f>
        <v>5201.349115</v>
      </c>
      <c r="F145" s="19">
        <f>SUM(F140:F144)</f>
        <v>5201.349115</v>
      </c>
    </row>
    <row r="146" ht="15.75" customHeight="1">
      <c r="A146" s="18" t="s">
        <v>27</v>
      </c>
      <c r="B146" s="9" t="s">
        <v>120</v>
      </c>
      <c r="C146" s="3"/>
      <c r="D146" s="19">
        <f>D135</f>
        <v>1316.991845</v>
      </c>
      <c r="F146" s="19">
        <f>F135</f>
        <v>1742.679418</v>
      </c>
    </row>
    <row r="147" ht="15.75" customHeight="1">
      <c r="A147" s="7" t="s">
        <v>133</v>
      </c>
      <c r="B147" s="2"/>
      <c r="C147" s="3"/>
      <c r="D147" s="23">
        <f>ROUND(SUM(D145:D146),2)</f>
        <v>6518.34</v>
      </c>
      <c r="F147" s="23">
        <f>ROUND(SUM(F145:F146),2)</f>
        <v>6944.03</v>
      </c>
    </row>
    <row r="148" ht="15.75" customHeight="1">
      <c r="A148" s="7" t="s">
        <v>134</v>
      </c>
      <c r="B148" s="2"/>
      <c r="C148" s="3"/>
      <c r="D148" s="23">
        <f>2*D147</f>
        <v>13036.68</v>
      </c>
      <c r="F148" s="23">
        <f>2*F147</f>
        <v>13888.06</v>
      </c>
    </row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35">
    <mergeCell ref="A1:D1"/>
    <mergeCell ref="A2:D2"/>
    <mergeCell ref="A3:D3"/>
    <mergeCell ref="B4:C4"/>
    <mergeCell ref="B5:C5"/>
    <mergeCell ref="B6:C6"/>
    <mergeCell ref="B7:C7"/>
    <mergeCell ref="B8:C8"/>
    <mergeCell ref="B9:C9"/>
    <mergeCell ref="A10:D10"/>
    <mergeCell ref="A11:D11"/>
    <mergeCell ref="A12:D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C26"/>
    <mergeCell ref="A27:D27"/>
    <mergeCell ref="A28:D28"/>
    <mergeCell ref="A29:D29"/>
    <mergeCell ref="A30:D30"/>
    <mergeCell ref="B31:C31"/>
    <mergeCell ref="B32:C32"/>
    <mergeCell ref="B33:C33"/>
    <mergeCell ref="A35:D35"/>
    <mergeCell ref="A36:D36"/>
    <mergeCell ref="A34:C34"/>
    <mergeCell ref="A46:B46"/>
    <mergeCell ref="A47:D47"/>
    <mergeCell ref="A48:D48"/>
    <mergeCell ref="B49:C49"/>
    <mergeCell ref="F49:G49"/>
    <mergeCell ref="B50:C50"/>
    <mergeCell ref="B51:C51"/>
    <mergeCell ref="F51:G51"/>
    <mergeCell ref="B52:C52"/>
    <mergeCell ref="B53:C53"/>
    <mergeCell ref="F53:G53"/>
    <mergeCell ref="B54:C54"/>
    <mergeCell ref="A55:C55"/>
    <mergeCell ref="A106:D106"/>
    <mergeCell ref="A107:D107"/>
    <mergeCell ref="B108:C108"/>
    <mergeCell ref="B109:C109"/>
    <mergeCell ref="A110:C110"/>
    <mergeCell ref="A111:D111"/>
    <mergeCell ref="A112:D112"/>
    <mergeCell ref="B113:C113"/>
    <mergeCell ref="B114:C114"/>
    <mergeCell ref="B115:C115"/>
    <mergeCell ref="A116:C116"/>
    <mergeCell ref="A117:D117"/>
    <mergeCell ref="A118:D118"/>
    <mergeCell ref="A119:D119"/>
    <mergeCell ref="C127:D127"/>
    <mergeCell ref="E127:F127"/>
    <mergeCell ref="B120:C120"/>
    <mergeCell ref="B121:C121"/>
    <mergeCell ref="B122:C122"/>
    <mergeCell ref="B123:C123"/>
    <mergeCell ref="A124:C124"/>
    <mergeCell ref="A125:D125"/>
    <mergeCell ref="A126:D126"/>
    <mergeCell ref="B142:C142"/>
    <mergeCell ref="B143:C143"/>
    <mergeCell ref="B144:C144"/>
    <mergeCell ref="A145:C145"/>
    <mergeCell ref="B146:C146"/>
    <mergeCell ref="A147:C147"/>
    <mergeCell ref="A148:C148"/>
    <mergeCell ref="A135:B135"/>
    <mergeCell ref="A136:D136"/>
    <mergeCell ref="A137:D137"/>
    <mergeCell ref="A138:D138"/>
    <mergeCell ref="A139:C139"/>
    <mergeCell ref="B140:C140"/>
    <mergeCell ref="B141:C141"/>
    <mergeCell ref="A56:D56"/>
    <mergeCell ref="A57:D57"/>
    <mergeCell ref="B58:C58"/>
    <mergeCell ref="B59:C59"/>
    <mergeCell ref="B60:C60"/>
    <mergeCell ref="B61:C61"/>
    <mergeCell ref="A62:C62"/>
    <mergeCell ref="A63:D63"/>
    <mergeCell ref="A64:D64"/>
    <mergeCell ref="A65:D65"/>
    <mergeCell ref="A66:D66"/>
    <mergeCell ref="B67:C67"/>
    <mergeCell ref="B68:C68"/>
    <mergeCell ref="B69:C69"/>
    <mergeCell ref="B70:C70"/>
    <mergeCell ref="A71:C71"/>
    <mergeCell ref="A72:D72"/>
    <mergeCell ref="A73:D73"/>
    <mergeCell ref="B74:C74"/>
    <mergeCell ref="B75:C75"/>
    <mergeCell ref="B76:C76"/>
    <mergeCell ref="B77:C77"/>
    <mergeCell ref="A78:C78"/>
    <mergeCell ref="A79:D79"/>
    <mergeCell ref="A80:D80"/>
    <mergeCell ref="A82:D82"/>
    <mergeCell ref="B83:C83"/>
    <mergeCell ref="B84:C84"/>
    <mergeCell ref="B85:C85"/>
    <mergeCell ref="A86:C86"/>
    <mergeCell ref="A87:D87"/>
    <mergeCell ref="A88:D88"/>
    <mergeCell ref="A89:D89"/>
    <mergeCell ref="A90:D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A105:C105"/>
  </mergeCells>
  <printOptions/>
  <pageMargins bottom="0.787401575" footer="0.0" header="0.0" left="0.511811024" right="0.511811024" top="0.787401575"/>
  <pageSetup paperSize="9" scale="68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63.0"/>
    <col customWidth="1" min="3" max="3" width="8.86"/>
    <col customWidth="1" min="4" max="4" width="10.0"/>
    <col customWidth="1" min="5" max="5" width="10.14"/>
    <col customWidth="1" min="6" max="26" width="8.86"/>
  </cols>
  <sheetData>
    <row r="1" ht="15.0" customHeight="1">
      <c r="A1" s="86" t="s">
        <v>141</v>
      </c>
      <c r="B1" s="2"/>
      <c r="C1" s="2"/>
      <c r="D1" s="2"/>
      <c r="E1" s="3"/>
    </row>
    <row r="2">
      <c r="A2" s="87" t="s">
        <v>142</v>
      </c>
      <c r="B2" s="87" t="s">
        <v>143</v>
      </c>
      <c r="C2" s="87" t="s">
        <v>144</v>
      </c>
      <c r="D2" s="87" t="s">
        <v>145</v>
      </c>
      <c r="E2" s="87" t="s">
        <v>146</v>
      </c>
    </row>
    <row r="3" ht="13.5" customHeight="1">
      <c r="A3" s="88">
        <v>1.0</v>
      </c>
      <c r="B3" s="89" t="s">
        <v>147</v>
      </c>
      <c r="C3" s="90">
        <v>32.0</v>
      </c>
      <c r="D3" s="90">
        <v>78.12</v>
      </c>
      <c r="E3" s="91">
        <f t="shared" ref="E3:E9" si="1">C3*D3</f>
        <v>2499.84</v>
      </c>
    </row>
    <row r="4">
      <c r="A4" s="88">
        <v>2.0</v>
      </c>
      <c r="B4" s="89" t="s">
        <v>148</v>
      </c>
      <c r="C4" s="90">
        <v>32.0</v>
      </c>
      <c r="D4" s="90">
        <v>78.45</v>
      </c>
      <c r="E4" s="91">
        <f t="shared" si="1"/>
        <v>2510.4</v>
      </c>
    </row>
    <row r="5">
      <c r="A5" s="88">
        <v>3.0</v>
      </c>
      <c r="B5" s="89" t="s">
        <v>149</v>
      </c>
      <c r="C5" s="90">
        <v>16.0</v>
      </c>
      <c r="D5" s="90">
        <v>150.7</v>
      </c>
      <c r="E5" s="91">
        <f t="shared" si="1"/>
        <v>2411.2</v>
      </c>
    </row>
    <row r="6">
      <c r="A6" s="92">
        <v>4.0</v>
      </c>
      <c r="B6" s="89" t="s">
        <v>150</v>
      </c>
      <c r="C6" s="90">
        <v>32.0</v>
      </c>
      <c r="D6" s="90">
        <v>11.65</v>
      </c>
      <c r="E6" s="91">
        <f t="shared" si="1"/>
        <v>372.8</v>
      </c>
    </row>
    <row r="7" ht="25.5" customHeight="1">
      <c r="A7" s="92">
        <v>5.0</v>
      </c>
      <c r="B7" s="89" t="s">
        <v>151</v>
      </c>
      <c r="C7" s="90">
        <v>32.0</v>
      </c>
      <c r="D7" s="90">
        <v>32.5</v>
      </c>
      <c r="E7" s="91">
        <f t="shared" si="1"/>
        <v>1040</v>
      </c>
    </row>
    <row r="8">
      <c r="A8" s="92">
        <v>6.0</v>
      </c>
      <c r="B8" s="89" t="s">
        <v>152</v>
      </c>
      <c r="C8" s="90">
        <v>16.0</v>
      </c>
      <c r="D8" s="90">
        <v>164.99</v>
      </c>
      <c r="E8" s="91">
        <f t="shared" si="1"/>
        <v>2639.84</v>
      </c>
    </row>
    <row r="9">
      <c r="A9" s="92">
        <v>7.0</v>
      </c>
      <c r="B9" s="89" t="s">
        <v>153</v>
      </c>
      <c r="C9" s="90">
        <v>16.0</v>
      </c>
      <c r="D9" s="90">
        <v>1.6</v>
      </c>
      <c r="E9" s="91">
        <f t="shared" si="1"/>
        <v>25.6</v>
      </c>
    </row>
    <row r="10">
      <c r="A10" s="93" t="s">
        <v>154</v>
      </c>
      <c r="B10" s="2"/>
      <c r="C10" s="2"/>
      <c r="D10" s="3"/>
      <c r="E10" s="94">
        <f>SUM(E3:E9)</f>
        <v>11499.68</v>
      </c>
    </row>
    <row r="11">
      <c r="A11" s="93" t="s">
        <v>155</v>
      </c>
      <c r="B11" s="2"/>
      <c r="C11" s="2"/>
      <c r="D11" s="3"/>
      <c r="E11" s="94">
        <f>E10/12</f>
        <v>958.3066667</v>
      </c>
    </row>
    <row r="12" ht="15.0" customHeight="1">
      <c r="A12" s="93" t="s">
        <v>156</v>
      </c>
      <c r="B12" s="2"/>
      <c r="C12" s="2"/>
      <c r="D12" s="3"/>
      <c r="E12" s="95">
        <v>16.0</v>
      </c>
    </row>
    <row r="13">
      <c r="A13" s="96" t="s">
        <v>157</v>
      </c>
      <c r="B13" s="2"/>
      <c r="C13" s="2"/>
      <c r="D13" s="3"/>
      <c r="E13" s="97">
        <f>E11/E12</f>
        <v>59.89416667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1:E1"/>
    <mergeCell ref="A10:D10"/>
    <mergeCell ref="A11:D11"/>
    <mergeCell ref="A12:D12"/>
    <mergeCell ref="A13:D13"/>
  </mergeCells>
  <printOptions/>
  <pageMargins bottom="0.787401575" footer="0.0" header="0.0" left="0.511811024" right="0.511811024" top="0.787401575"/>
  <pageSetup paperSize="9" scale="9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41.0"/>
    <col customWidth="1" min="3" max="3" width="6.0"/>
    <col customWidth="1" min="4" max="4" width="8.86"/>
    <col customWidth="1" min="5" max="5" width="10.0"/>
    <col customWidth="1" min="6" max="6" width="10.14"/>
    <col customWidth="1" min="7" max="26" width="8.86"/>
  </cols>
  <sheetData>
    <row r="1">
      <c r="A1" s="86" t="s">
        <v>141</v>
      </c>
      <c r="B1" s="2"/>
      <c r="C1" s="2"/>
      <c r="D1" s="2"/>
      <c r="E1" s="2"/>
      <c r="F1" s="3"/>
    </row>
    <row r="2">
      <c r="A2" s="87" t="s">
        <v>142</v>
      </c>
      <c r="B2" s="87" t="s">
        <v>158</v>
      </c>
      <c r="C2" s="87" t="s">
        <v>159</v>
      </c>
      <c r="D2" s="87" t="s">
        <v>144</v>
      </c>
      <c r="E2" s="87" t="s">
        <v>145</v>
      </c>
      <c r="F2" s="87" t="s">
        <v>146</v>
      </c>
    </row>
    <row r="3">
      <c r="A3" s="88"/>
      <c r="B3" s="89" t="s">
        <v>160</v>
      </c>
      <c r="C3" s="98" t="s">
        <v>161</v>
      </c>
      <c r="D3" s="90">
        <v>4.0</v>
      </c>
      <c r="E3" s="90">
        <v>30.29</v>
      </c>
      <c r="F3" s="91">
        <f t="shared" ref="F3:F5" si="1">D3*E3</f>
        <v>121.16</v>
      </c>
    </row>
    <row r="4">
      <c r="A4" s="88"/>
      <c r="B4" s="89" t="s">
        <v>162</v>
      </c>
      <c r="C4" s="98" t="s">
        <v>163</v>
      </c>
      <c r="D4" s="90">
        <v>5.0</v>
      </c>
      <c r="E4" s="91">
        <v>10.49</v>
      </c>
      <c r="F4" s="91">
        <f t="shared" si="1"/>
        <v>52.45</v>
      </c>
    </row>
    <row r="5">
      <c r="A5" s="88"/>
      <c r="B5" s="89" t="s">
        <v>164</v>
      </c>
      <c r="C5" s="98" t="s">
        <v>161</v>
      </c>
      <c r="D5" s="90">
        <v>8.0</v>
      </c>
      <c r="E5" s="90">
        <v>43.5</v>
      </c>
      <c r="F5" s="91">
        <f t="shared" si="1"/>
        <v>348</v>
      </c>
    </row>
    <row r="6">
      <c r="A6" s="99" t="s">
        <v>165</v>
      </c>
      <c r="B6" s="2"/>
      <c r="C6" s="2"/>
      <c r="D6" s="2"/>
      <c r="E6" s="3"/>
      <c r="F6" s="91">
        <f>SUM(F3:F5)</f>
        <v>521.61</v>
      </c>
    </row>
    <row r="7">
      <c r="A7" s="99" t="s">
        <v>166</v>
      </c>
      <c r="B7" s="2"/>
      <c r="C7" s="2"/>
      <c r="D7" s="2"/>
      <c r="E7" s="3"/>
      <c r="F7" s="19">
        <f>F6/12</f>
        <v>43.4675</v>
      </c>
    </row>
    <row r="8">
      <c r="A8" s="99" t="s">
        <v>156</v>
      </c>
      <c r="B8" s="2"/>
      <c r="C8" s="2"/>
      <c r="D8" s="2"/>
      <c r="E8" s="3"/>
      <c r="F8" s="11">
        <v>16.0</v>
      </c>
    </row>
    <row r="9">
      <c r="A9" s="7" t="s">
        <v>167</v>
      </c>
      <c r="B9" s="2"/>
      <c r="C9" s="2"/>
      <c r="D9" s="2"/>
      <c r="E9" s="3"/>
      <c r="F9" s="97">
        <f>F7/F8</f>
        <v>2.71671875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1:F1"/>
    <mergeCell ref="A6:E6"/>
    <mergeCell ref="A7:E7"/>
    <mergeCell ref="A8:E8"/>
    <mergeCell ref="A9:E9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6.43"/>
    <col customWidth="1" min="3" max="3" width="7.43"/>
    <col customWidth="1" min="4" max="4" width="16.14"/>
    <col customWidth="1" min="5" max="5" width="17.29"/>
    <col customWidth="1" min="6" max="6" width="16.86"/>
    <col customWidth="1" min="7" max="26" width="8.86"/>
  </cols>
  <sheetData>
    <row r="1" ht="12.0" customHeight="1">
      <c r="A1" s="86" t="s">
        <v>141</v>
      </c>
      <c r="B1" s="2"/>
      <c r="C1" s="2"/>
      <c r="D1" s="2"/>
      <c r="E1" s="2"/>
      <c r="F1" s="3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12.0" customHeight="1">
      <c r="A2" s="87" t="s">
        <v>142</v>
      </c>
      <c r="B2" s="87" t="s">
        <v>168</v>
      </c>
      <c r="C2" s="87" t="s">
        <v>169</v>
      </c>
      <c r="D2" s="87" t="s">
        <v>170</v>
      </c>
      <c r="E2" s="87" t="s">
        <v>171</v>
      </c>
      <c r="F2" s="87" t="s">
        <v>172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ht="12.0" customHeight="1">
      <c r="A3" s="11">
        <v>1.0</v>
      </c>
      <c r="B3" s="89" t="s">
        <v>173</v>
      </c>
      <c r="C3" s="101">
        <v>4.0</v>
      </c>
      <c r="D3" s="102">
        <v>90.9</v>
      </c>
      <c r="E3" s="103">
        <v>0.2</v>
      </c>
      <c r="F3" s="91">
        <f t="shared" ref="F3:F6" si="1">C3*D3*E3</f>
        <v>72.72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ht="12.0" customHeight="1">
      <c r="A4" s="11">
        <v>2.0</v>
      </c>
      <c r="B4" s="89" t="s">
        <v>174</v>
      </c>
      <c r="C4" s="101">
        <v>4.0</v>
      </c>
      <c r="D4" s="102">
        <v>137.45</v>
      </c>
      <c r="E4" s="103">
        <v>0.2</v>
      </c>
      <c r="F4" s="91">
        <f t="shared" si="1"/>
        <v>109.96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ht="12.0" customHeight="1">
      <c r="A5" s="11">
        <v>3.0</v>
      </c>
      <c r="B5" s="104" t="s">
        <v>175</v>
      </c>
      <c r="C5" s="101">
        <v>3.0</v>
      </c>
      <c r="D5" s="102">
        <v>4487.5</v>
      </c>
      <c r="E5" s="103">
        <v>0.2</v>
      </c>
      <c r="F5" s="91">
        <f t="shared" si="1"/>
        <v>2692.5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2.0" customHeight="1">
      <c r="A6" s="11">
        <v>4.0</v>
      </c>
      <c r="B6" s="104" t="s">
        <v>176</v>
      </c>
      <c r="C6" s="101">
        <v>4.0</v>
      </c>
      <c r="D6" s="102">
        <v>1055.7</v>
      </c>
      <c r="E6" s="103">
        <v>0.2</v>
      </c>
      <c r="F6" s="91">
        <f t="shared" si="1"/>
        <v>844.56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2.0" customHeight="1">
      <c r="A7" s="99" t="s">
        <v>165</v>
      </c>
      <c r="B7" s="2"/>
      <c r="C7" s="2"/>
      <c r="D7" s="2"/>
      <c r="E7" s="3"/>
      <c r="F7" s="91">
        <f>SUM(F3:F5)</f>
        <v>2875.18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ht="12.0" customHeight="1">
      <c r="A8" s="99" t="s">
        <v>166</v>
      </c>
      <c r="B8" s="2"/>
      <c r="C8" s="2"/>
      <c r="D8" s="2"/>
      <c r="E8" s="3"/>
      <c r="F8" s="19">
        <f>F7/12</f>
        <v>239.5983333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2.0" customHeight="1">
      <c r="A9" s="99" t="s">
        <v>156</v>
      </c>
      <c r="B9" s="2"/>
      <c r="C9" s="2"/>
      <c r="D9" s="2"/>
      <c r="E9" s="3"/>
      <c r="F9" s="11">
        <v>16.0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2.0" customHeight="1">
      <c r="A10" s="105" t="s">
        <v>177</v>
      </c>
      <c r="B10" s="2"/>
      <c r="C10" s="2"/>
      <c r="D10" s="2"/>
      <c r="E10" s="3"/>
      <c r="F10" s="23">
        <f>F8/6</f>
        <v>39.93305556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2.0" customHeight="1">
      <c r="A11" s="105" t="s">
        <v>178</v>
      </c>
      <c r="B11" s="2"/>
      <c r="C11" s="2"/>
      <c r="D11" s="2"/>
      <c r="E11" s="3"/>
      <c r="F11" s="23">
        <f>((F3+F4+F6)/12/10)</f>
        <v>8.560333333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2.0" customHeight="1">
      <c r="A12" s="106" t="s">
        <v>179</v>
      </c>
      <c r="B12" s="25"/>
      <c r="C12" s="25"/>
      <c r="D12" s="25"/>
      <c r="E12" s="25"/>
      <c r="F12" s="25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2.0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2.0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2.0" customHeight="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ht="12.0" customHeight="1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ht="12.0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ht="12.0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ht="12.0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ht="12.0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ht="12.0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ht="12.0" customHeight="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ht="12.0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ht="12.0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ht="12.0" customHeigh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ht="12.0" customHeight="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ht="12.0" customHeight="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ht="12.0" customHeight="1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ht="12.0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ht="12.0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ht="12.0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ht="12.0" customHeight="1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ht="12.0" customHeight="1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ht="12.0" customHeigh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ht="12.0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ht="12.0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ht="12.0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ht="12.0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ht="12.0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ht="12.0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ht="12.0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ht="12.0" customHeight="1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2.0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2.0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ht="12.0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ht="12.0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ht="12.0" customHeight="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ht="12.0" customHeigh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ht="12.0" customHeigh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ht="12.0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ht="12.0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ht="12.0" customHeight="1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ht="12.0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2.0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ht="12.0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ht="12.0" customHeight="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ht="12.0" customHeight="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ht="12.0" customHeight="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ht="12.0" customHeigh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ht="12.0" customHeight="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ht="12.0" customHeight="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ht="12.0" customHeigh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ht="12.0" customHeigh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ht="12.0" customHeigh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ht="12.0" customHeigh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ht="12.0" customHeight="1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ht="12.0" customHeight="1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ht="12.0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ht="12.0" customHeight="1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ht="12.0" customHeight="1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ht="12.0" customHeight="1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ht="12.0" customHeight="1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ht="12.0" customHeight="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ht="12.0" customHeight="1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ht="12.0" customHeight="1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ht="12.0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ht="12.0" customHeigh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ht="12.0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ht="12.0" customHeigh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ht="12.0" customHeight="1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ht="12.0" customHeight="1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ht="12.0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ht="12.0" customHeight="1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ht="12.0" customHeight="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ht="12.0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ht="12.0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ht="12.0" customHeight="1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ht="12.0" customHeight="1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ht="12.0" customHeight="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ht="12.0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ht="12.0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ht="12.0" customHeigh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ht="12.0" customHeigh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ht="12.0" customHeigh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ht="12.0" customHeigh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ht="12.0" customHeigh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ht="12.0" customHeigh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ht="12.0" customHeight="1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ht="12.0" customHeight="1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ht="12.0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ht="12.0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ht="12.0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ht="12.0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ht="12.0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ht="12.0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ht="12.0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ht="12.0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ht="12.0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ht="12.0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ht="12.0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ht="12.0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ht="12.0" customHeigh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ht="12.0" customHeigh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ht="12.0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ht="12.0" customHeight="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ht="12.0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ht="12.0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ht="12.0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ht="12.0" customHeight="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ht="12.0" customHeight="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ht="12.0" customHeight="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ht="12.0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ht="12.0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ht="12.0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ht="12.0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ht="12.0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ht="12.0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ht="12.0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ht="12.0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ht="12.0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ht="12.0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ht="12.0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ht="12.0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ht="12.0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ht="12.0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ht="12.0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ht="12.0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ht="12.0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ht="12.0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ht="12.0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ht="12.0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ht="12.0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ht="12.0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ht="12.0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ht="12.0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ht="12.0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ht="12.0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ht="12.0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ht="12.0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ht="12.0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ht="12.0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ht="12.0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ht="12.0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2.0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ht="12.0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ht="12.0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ht="12.0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ht="12.0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ht="12.0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ht="12.0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ht="12.0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ht="12.0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ht="12.0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ht="12.0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ht="12.0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ht="12.0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ht="12.0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ht="12.0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ht="12.0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ht="12.0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ht="12.0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ht="12.0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ht="12.0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ht="12.0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ht="12.0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ht="12.0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ht="12.0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ht="12.0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ht="12.0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ht="12.0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ht="12.0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ht="12.0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ht="12.0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ht="12.0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ht="12.0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ht="12.0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ht="12.0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ht="12.0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ht="12.0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ht="12.0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ht="12.0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ht="12.0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ht="12.0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ht="12.0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ht="12.0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ht="12.0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ht="12.0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ht="12.0" customHeight="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ht="12.0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ht="12.0" customHeight="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ht="12.0" customHeight="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ht="12.0" customHeight="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ht="12.0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ht="12.0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ht="12.0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ht="12.0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ht="12.0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ht="12.0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ht="12.0" customHeight="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ht="12.0" customHeight="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ht="12.0" customHeight="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ht="12.0" customHeight="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ht="12.0" customHeight="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ht="12.0" customHeight="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ht="12.0" customHeight="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ht="12.0" customHeight="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ht="12.0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ht="12.0" customHeight="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ht="12.0" customHeight="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ht="12.0" customHeight="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ht="12.0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ht="12.0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ht="12.0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ht="12.0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ht="12.0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ht="12.0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ht="12.0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ht="12.0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ht="12.0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ht="12.0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ht="12.0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ht="12.0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ht="12.0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ht="12.0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ht="12.0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ht="12.0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ht="12.0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ht="12.0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ht="12.0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ht="12.0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ht="12.0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ht="12.0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ht="12.0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ht="12.0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ht="12.0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ht="12.0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ht="12.0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ht="12.0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ht="12.0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ht="12.0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ht="12.0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ht="12.0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ht="12.0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ht="12.0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ht="12.0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ht="12.0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ht="12.0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ht="12.0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ht="12.0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ht="12.0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ht="12.0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ht="12.0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ht="12.0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ht="12.0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ht="12.0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ht="12.0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ht="12.0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ht="12.0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ht="12.0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ht="12.0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ht="12.0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ht="12.0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ht="12.0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ht="12.0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ht="12.0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ht="12.0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ht="12.0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ht="12.0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ht="12.0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ht="12.0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ht="12.0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ht="12.0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ht="12.0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ht="12.0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ht="12.0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ht="12.0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ht="12.0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ht="12.0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ht="12.0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ht="12.0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ht="12.0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ht="12.0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ht="12.0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ht="12.0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ht="12.0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ht="12.0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ht="12.0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ht="12.0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ht="12.0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ht="12.0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ht="12.0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ht="12.0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ht="12.0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ht="12.0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ht="12.0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ht="12.0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ht="12.0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ht="12.0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ht="12.0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ht="12.0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ht="12.0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ht="12.0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ht="12.0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ht="12.0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ht="12.0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ht="12.0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ht="12.0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ht="12.0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ht="12.0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ht="12.0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ht="12.0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ht="12.0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ht="12.0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ht="12.0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ht="12.0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ht="12.0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ht="12.0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ht="12.0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ht="12.0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ht="12.0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ht="12.0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ht="12.0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ht="12.0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ht="12.0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ht="12.0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ht="12.0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ht="12.0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ht="12.0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ht="12.0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ht="12.0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ht="12.0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ht="12.0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ht="12.0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ht="12.0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ht="12.0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ht="12.0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ht="12.0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ht="12.0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ht="12.0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ht="12.0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ht="12.0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ht="12.0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ht="12.0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ht="12.0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ht="12.0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ht="12.0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ht="12.0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ht="12.0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ht="12.0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ht="12.0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ht="12.0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ht="12.0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ht="12.0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ht="12.0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ht="12.0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ht="12.0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ht="12.0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ht="12.0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ht="12.0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ht="12.0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ht="12.0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ht="12.0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ht="12.0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ht="12.0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ht="12.0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ht="12.0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ht="12.0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ht="12.0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ht="12.0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ht="12.0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ht="12.0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ht="12.0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ht="12.0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ht="12.0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ht="12.0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ht="12.0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ht="12.0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ht="12.0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ht="12.0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ht="12.0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ht="12.0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ht="12.0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ht="12.0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ht="12.0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ht="12.0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ht="12.0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ht="12.0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ht="12.0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ht="12.0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ht="12.0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ht="12.0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ht="12.0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ht="12.0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ht="12.0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ht="12.0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ht="12.0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ht="12.0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ht="12.0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ht="12.0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ht="12.0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ht="12.0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ht="12.0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ht="12.0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ht="12.0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ht="12.0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ht="12.0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ht="12.0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ht="12.0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ht="12.0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ht="12.0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ht="12.0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ht="12.0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ht="12.0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ht="12.0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ht="12.0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ht="12.0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ht="12.0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ht="12.0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ht="12.0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ht="12.0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ht="12.0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ht="12.0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ht="12.0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ht="12.0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ht="12.0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ht="12.0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ht="12.0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ht="12.0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ht="12.0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ht="12.0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ht="12.0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ht="12.0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ht="12.0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ht="12.0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ht="12.0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ht="12.0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ht="12.0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ht="12.0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ht="12.0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ht="12.0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ht="12.0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ht="12.0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ht="12.0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ht="12.0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ht="12.0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ht="12.0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ht="12.0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ht="12.0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ht="12.0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ht="12.0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ht="12.0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ht="12.0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ht="12.0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ht="12.0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ht="12.0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ht="12.0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ht="12.0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ht="12.0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ht="12.0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ht="12.0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ht="12.0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ht="12.0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ht="12.0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ht="12.0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ht="12.0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ht="12.0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ht="12.0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ht="12.0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ht="12.0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ht="12.0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ht="12.0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ht="12.0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ht="12.0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ht="12.0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ht="12.0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ht="12.0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ht="12.0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ht="12.0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ht="12.0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ht="12.0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ht="12.0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ht="12.0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ht="12.0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ht="12.0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ht="12.0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ht="12.0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ht="12.0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ht="12.0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ht="12.0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ht="12.0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ht="12.0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ht="12.0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ht="12.0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ht="12.0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ht="12.0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ht="12.0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ht="12.0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ht="12.0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ht="12.0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ht="12.0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ht="12.0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ht="12.0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ht="12.0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ht="12.0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ht="12.0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ht="12.0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ht="12.0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ht="12.0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ht="12.0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ht="12.0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ht="12.0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ht="12.0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ht="12.0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ht="12.0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ht="12.0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ht="12.0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ht="12.0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ht="12.0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ht="12.0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ht="12.0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ht="12.0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ht="12.0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ht="12.0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ht="12.0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ht="12.0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ht="12.0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ht="12.0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ht="12.0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ht="12.0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ht="12.0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ht="12.0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ht="12.0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ht="12.0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ht="12.0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ht="12.0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ht="12.0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ht="12.0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ht="12.0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ht="12.0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ht="12.0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ht="12.0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ht="12.0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ht="12.0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ht="12.0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ht="12.0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ht="12.0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ht="12.0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ht="12.0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ht="12.0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ht="12.0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ht="12.0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ht="12.0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ht="12.0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ht="12.0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ht="12.0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ht="12.0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ht="12.0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ht="12.0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ht="12.0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ht="12.0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ht="12.0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ht="12.0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ht="12.0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ht="12.0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ht="12.0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ht="12.0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ht="12.0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ht="12.0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ht="12.0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ht="12.0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ht="12.0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ht="12.0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ht="12.0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ht="12.0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ht="12.0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ht="12.0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ht="12.0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ht="12.0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ht="12.0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ht="12.0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ht="12.0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ht="12.0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ht="12.0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ht="12.0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ht="12.0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ht="12.0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ht="12.0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ht="12.0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ht="12.0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ht="12.0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ht="12.0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ht="12.0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ht="12.0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ht="12.0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ht="12.0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ht="12.0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ht="12.0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ht="12.0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ht="12.0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ht="12.0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ht="12.0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ht="12.0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ht="12.0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ht="12.0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ht="12.0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ht="12.0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ht="12.0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ht="12.0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ht="12.0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ht="12.0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ht="12.0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ht="12.0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ht="12.0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ht="12.0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ht="12.0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ht="12.0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ht="12.0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ht="12.0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ht="12.0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ht="12.0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ht="12.0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ht="12.0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ht="12.0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ht="12.0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ht="12.0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ht="12.0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ht="12.0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ht="12.0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ht="12.0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ht="12.0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ht="12.0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ht="12.0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ht="12.0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ht="12.0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ht="12.0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ht="12.0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ht="12.0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ht="12.0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ht="12.0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ht="12.0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ht="12.0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ht="12.0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ht="12.0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ht="12.0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ht="12.0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ht="12.0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ht="12.0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ht="12.0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ht="12.0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ht="12.0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ht="12.0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ht="12.0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ht="12.0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ht="12.0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ht="12.0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ht="12.0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ht="12.0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ht="12.0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ht="12.0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ht="12.0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ht="12.0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ht="12.0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ht="12.0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ht="12.0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ht="12.0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ht="12.0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ht="12.0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ht="12.0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ht="12.0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ht="12.0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ht="12.0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ht="12.0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ht="12.0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ht="12.0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ht="12.0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ht="12.0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ht="12.0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ht="12.0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ht="12.0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ht="12.0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ht="12.0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ht="12.0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ht="12.0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ht="12.0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ht="12.0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ht="12.0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ht="12.0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ht="12.0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ht="12.0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ht="12.0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ht="12.0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ht="12.0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ht="12.0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ht="12.0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ht="12.0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ht="12.0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ht="12.0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ht="12.0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ht="12.0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ht="12.0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ht="12.0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ht="12.0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ht="12.0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ht="12.0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ht="12.0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ht="12.0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ht="12.0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ht="12.0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ht="12.0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ht="12.0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ht="12.0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ht="12.0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ht="12.0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ht="12.0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ht="12.0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ht="12.0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ht="12.0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ht="12.0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ht="12.0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ht="12.0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ht="12.0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ht="12.0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ht="12.0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ht="12.0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ht="12.0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ht="12.0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ht="12.0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ht="12.0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ht="12.0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ht="12.0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ht="12.0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ht="12.0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ht="12.0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ht="12.0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ht="12.0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ht="12.0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ht="12.0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ht="12.0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ht="12.0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ht="12.0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ht="12.0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ht="12.0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ht="12.0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ht="12.0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ht="12.0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ht="12.0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ht="12.0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ht="12.0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ht="12.0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ht="12.0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ht="12.0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ht="12.0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ht="12.0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ht="12.0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ht="12.0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ht="12.0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ht="12.0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ht="12.0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ht="12.0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ht="12.0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ht="12.0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ht="12.0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ht="12.0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ht="12.0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ht="12.0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ht="12.0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ht="12.0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ht="12.0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ht="12.0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ht="12.0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ht="12.0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ht="12.0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ht="12.0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ht="12.0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ht="12.0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ht="12.0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ht="12.0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ht="12.0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ht="12.0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ht="12.0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ht="12.0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ht="12.0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ht="12.0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ht="12.0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ht="12.0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ht="12.0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ht="12.0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ht="12.0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ht="12.0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ht="12.0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ht="12.0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ht="12.0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ht="12.0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ht="12.0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ht="12.0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ht="12.0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ht="12.0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ht="12.0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ht="12.0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ht="12.0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ht="12.0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ht="12.0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ht="12.0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ht="12.0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ht="12.0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ht="12.0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ht="12.0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ht="12.0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ht="12.0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ht="12.0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ht="12.0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ht="12.0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ht="12.0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ht="12.0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ht="12.0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ht="12.0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ht="12.0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ht="12.0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ht="12.0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ht="12.0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ht="12.0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ht="12.0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ht="12.0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ht="12.0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ht="12.0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ht="12.0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ht="12.0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ht="12.0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ht="12.0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ht="12.0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ht="12.0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ht="12.0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ht="12.0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ht="12.0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ht="12.0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ht="12.0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ht="12.0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ht="12.0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ht="12.0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ht="12.0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ht="12.0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ht="12.0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ht="12.0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ht="12.0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ht="12.0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ht="12.0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ht="12.0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ht="12.0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ht="12.0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ht="12.0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ht="12.0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ht="12.0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ht="12.0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ht="12.0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ht="12.0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ht="12.0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ht="12.0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ht="12.0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ht="12.0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ht="12.0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ht="12.0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ht="12.0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ht="12.0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ht="12.0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ht="12.0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ht="12.0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ht="12.0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ht="12.0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ht="12.0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ht="12.0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ht="12.0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ht="12.0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ht="12.0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ht="12.0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ht="12.0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ht="12.0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ht="12.0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ht="12.0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ht="12.0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ht="12.0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ht="12.0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ht="12.0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ht="12.0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ht="12.0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ht="12.0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ht="12.0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ht="12.0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ht="12.0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ht="12.0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ht="12.0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ht="12.0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ht="12.0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ht="12.0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ht="12.0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ht="12.0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ht="12.0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ht="12.0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ht="12.0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ht="12.0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ht="12.0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ht="12.0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ht="12.0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ht="12.0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ht="12.0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ht="12.0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ht="12.0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ht="12.0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ht="12.0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ht="12.0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ht="12.0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ht="12.0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ht="12.0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ht="12.0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ht="12.0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ht="12.0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ht="12.0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ht="12.0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ht="12.0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ht="12.0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ht="12.0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ht="12.0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ht="12.0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ht="12.0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ht="12.0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ht="12.0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ht="12.0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ht="12.0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ht="12.0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ht="12.0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ht="12.0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ht="12.0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ht="12.0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ht="12.0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ht="12.0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ht="12.0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ht="12.0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ht="12.0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ht="12.0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ht="12.0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ht="12.0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ht="12.0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ht="12.0" customHeight="1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ht="12.0" customHeight="1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ht="12.0" customHeight="1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ht="12.0" customHeight="1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ht="12.0" customHeight="1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ht="12.0" customHeight="1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ht="12.0" customHeight="1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ht="12.0" customHeight="1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ht="12.0" customHeight="1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ht="12.0" customHeight="1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ht="12.0" customHeight="1">
      <c r="A962" s="100"/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ht="12.0" customHeight="1">
      <c r="A963" s="100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ht="12.0" customHeight="1">
      <c r="A964" s="100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ht="12.0" customHeight="1">
      <c r="A965" s="100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ht="12.0" customHeight="1">
      <c r="A966" s="100"/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ht="12.0" customHeight="1">
      <c r="A967" s="100"/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ht="12.0" customHeight="1">
      <c r="A968" s="100"/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ht="12.0" customHeight="1">
      <c r="A969" s="100"/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ht="12.0" customHeight="1">
      <c r="A970" s="100"/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ht="12.0" customHeight="1">
      <c r="A971" s="100"/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ht="12.0" customHeight="1">
      <c r="A972" s="100"/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ht="12.0" customHeight="1">
      <c r="A973" s="100"/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ht="12.0" customHeight="1">
      <c r="A974" s="100"/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ht="12.0" customHeight="1">
      <c r="A975" s="100"/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ht="12.0" customHeight="1">
      <c r="A976" s="100"/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ht="12.0" customHeight="1">
      <c r="A977" s="100"/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ht="12.0" customHeight="1">
      <c r="A978" s="100"/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ht="12.0" customHeight="1">
      <c r="A979" s="100"/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ht="12.0" customHeight="1">
      <c r="A980" s="100"/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ht="12.0" customHeight="1">
      <c r="A981" s="100"/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ht="12.0" customHeight="1">
      <c r="A982" s="100"/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ht="12.0" customHeight="1">
      <c r="A983" s="100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ht="12.0" customHeight="1">
      <c r="A984" s="100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ht="12.0" customHeight="1">
      <c r="A985" s="100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ht="12.0" customHeight="1">
      <c r="A986" s="100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ht="12.0" customHeight="1">
      <c r="A987" s="100"/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ht="12.0" customHeight="1">
      <c r="A988" s="100"/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ht="12.0" customHeight="1">
      <c r="A989" s="100"/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ht="12.0" customHeight="1">
      <c r="A990" s="100"/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ht="12.0" customHeight="1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ht="12.0" customHeight="1">
      <c r="A992" s="100"/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 ht="12.0" customHeight="1">
      <c r="A993" s="100"/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 ht="12.0" customHeight="1">
      <c r="A994" s="100"/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 ht="12.0" customHeight="1">
      <c r="A995" s="100"/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  <row r="996" ht="12.0" customHeight="1">
      <c r="A996" s="100"/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</row>
    <row r="997" ht="12.0" customHeight="1">
      <c r="A997" s="100"/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 ht="12.0" customHeight="1">
      <c r="A998" s="100"/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 ht="12.0" customHeight="1">
      <c r="A999" s="100"/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 ht="12.0" customHeight="1">
      <c r="A1000" s="100"/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  <row r="1001" ht="12.0" customHeight="1">
      <c r="A1001" s="100"/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</row>
    <row r="1002" ht="12.0" customHeight="1">
      <c r="A1002" s="100"/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</row>
  </sheetData>
  <mergeCells count="7">
    <mergeCell ref="A1:F1"/>
    <mergeCell ref="A7:E7"/>
    <mergeCell ref="A8:E8"/>
    <mergeCell ref="A9:E9"/>
    <mergeCell ref="A10:E10"/>
    <mergeCell ref="A11:E11"/>
    <mergeCell ref="A12:F12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36.0"/>
    <col customWidth="1" min="3" max="3" width="16.29"/>
    <col customWidth="1" min="4" max="4" width="10.43"/>
    <col customWidth="1" min="5" max="5" width="15.14"/>
    <col customWidth="1" min="6" max="26" width="8.86"/>
  </cols>
  <sheetData>
    <row r="1">
      <c r="A1" s="86" t="s">
        <v>180</v>
      </c>
      <c r="B1" s="2"/>
      <c r="C1" s="2"/>
      <c r="D1" s="2"/>
      <c r="E1" s="3"/>
    </row>
    <row r="2">
      <c r="A2" s="107" t="s">
        <v>142</v>
      </c>
      <c r="B2" s="108" t="s">
        <v>181</v>
      </c>
      <c r="C2" s="107" t="s">
        <v>182</v>
      </c>
      <c r="D2" s="107" t="s">
        <v>183</v>
      </c>
      <c r="E2" s="107" t="s">
        <v>184</v>
      </c>
    </row>
    <row r="3">
      <c r="A3" s="8" t="s">
        <v>33</v>
      </c>
      <c r="B3" s="109" t="s">
        <v>185</v>
      </c>
      <c r="C3" s="19">
        <f>'Vigilante Fiscal Desarmado Diur'!F149</f>
        <v>13346.26</v>
      </c>
      <c r="D3" s="11">
        <v>1.0</v>
      </c>
      <c r="E3" s="110">
        <f t="shared" ref="E3:E7" si="1">C3*D3</f>
        <v>13346.26</v>
      </c>
    </row>
    <row r="4">
      <c r="A4" s="8" t="s">
        <v>186</v>
      </c>
      <c r="B4" s="109" t="s">
        <v>187</v>
      </c>
      <c r="C4" s="19">
        <f>'Vigilante Desarmado Diurno 12x3'!F147</f>
        <v>11075.36</v>
      </c>
      <c r="D4" s="11">
        <v>3.0</v>
      </c>
      <c r="E4" s="110">
        <f t="shared" si="1"/>
        <v>33226.08</v>
      </c>
    </row>
    <row r="5">
      <c r="A5" s="11" t="s">
        <v>188</v>
      </c>
      <c r="B5" s="109" t="s">
        <v>189</v>
      </c>
      <c r="C5" s="19">
        <f>'Vigilante Fiscal Armado Noturno'!F147</f>
        <v>15465.52</v>
      </c>
      <c r="D5" s="11">
        <v>1.0</v>
      </c>
      <c r="E5" s="110">
        <f t="shared" si="1"/>
        <v>15465.52</v>
      </c>
    </row>
    <row r="6">
      <c r="A6" s="111" t="s">
        <v>190</v>
      </c>
      <c r="B6" s="80" t="s">
        <v>191</v>
      </c>
      <c r="C6" s="19">
        <f>'Vigilante Desarmado Noturno 12x'!F147</f>
        <v>13804.28</v>
      </c>
      <c r="D6" s="11">
        <v>1.0</v>
      </c>
      <c r="E6" s="110">
        <f t="shared" si="1"/>
        <v>13804.28</v>
      </c>
    </row>
    <row r="7">
      <c r="A7" s="111" t="s">
        <v>192</v>
      </c>
      <c r="B7" s="80" t="s">
        <v>193</v>
      </c>
      <c r="C7" s="19">
        <f>'Vigilante Armado Noturno 12x36'!F148</f>
        <v>13888.06</v>
      </c>
      <c r="D7" s="11">
        <v>2.0</v>
      </c>
      <c r="E7" s="110">
        <f t="shared" si="1"/>
        <v>27776.12</v>
      </c>
    </row>
    <row r="8" ht="15.0" customHeight="1">
      <c r="A8" s="7" t="s">
        <v>194</v>
      </c>
      <c r="B8" s="2"/>
      <c r="C8" s="2"/>
      <c r="D8" s="3"/>
      <c r="E8" s="112">
        <f>SUM(E3:E7)</f>
        <v>103618.26</v>
      </c>
    </row>
    <row r="9">
      <c r="A9" s="113" t="s">
        <v>195</v>
      </c>
      <c r="B9" s="2"/>
      <c r="C9" s="2"/>
      <c r="D9" s="3"/>
      <c r="E9" s="114">
        <f>E8*12</f>
        <v>1243419.12</v>
      </c>
    </row>
    <row r="10">
      <c r="E10" s="115"/>
    </row>
    <row r="12" ht="24.75" customHeight="1"/>
    <row r="13" ht="26.2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">
    <mergeCell ref="A1:E1"/>
    <mergeCell ref="A8:D8"/>
    <mergeCell ref="A9:D9"/>
  </mergeCells>
  <printOptions/>
  <pageMargins bottom="0.787401575" footer="0.0" header="0.0" left="0.511811024" right="0.0" top="0.7874015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2017-08-08T15:20:51Z</dcterms:created>
  <dc:creator>Daniel de Mont'Alverne Monteiro</dc:creator>
</cp:coreProperties>
</file>